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9.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scmwf\Downloads\"/>
    </mc:Choice>
  </mc:AlternateContent>
  <xr:revisionPtr revIDLastSave="0" documentId="13_ncr:1_{E6D16885-A602-409F-9588-60F1DE8A08D1}" xr6:coauthVersionLast="46" xr6:coauthVersionMax="46" xr10:uidLastSave="{00000000-0000-0000-0000-000000000000}"/>
  <bookViews>
    <workbookView xWindow="-108" yWindow="-108" windowWidth="23256" windowHeight="12576" tabRatio="666" xr2:uid="{290CD17C-F6C8-439E-9CBB-B1CA8AA23709}"/>
  </bookViews>
  <sheets>
    <sheet name="1 Aggregate System" sheetId="1" r:id="rId1"/>
    <sheet name="2 Paste Quality" sheetId="2" r:id="rId2"/>
    <sheet name="3 Mix Design" sheetId="3" r:id="rId3"/>
    <sheet name="4 Agg Analysis" sheetId="4" state="hidden" r:id="rId4"/>
    <sheet name="Unit Wt_Voids in Agg (optional)" sheetId="10" r:id="rId5"/>
    <sheet name="Data_Charts" sheetId="6" r:id="rId6"/>
    <sheet name="WS5014" sheetId="9" r:id="rId7"/>
    <sheet name="Directions_Download" sheetId="8" r:id="rId8"/>
  </sheets>
  <definedNames>
    <definedName name="_xlnm.Print_Area" localSheetId="0">'1 Aggregate System'!$A$1:$P$65</definedName>
    <definedName name="_xlnm.Print_Area" localSheetId="1">'2 Paste Quality'!$A$1:$I$49</definedName>
    <definedName name="_xlnm.Print_Area" localSheetId="2">'3 Mix Design'!$A$1:$I$33</definedName>
    <definedName name="_xlnm.Print_Area" localSheetId="5">Data_Charts!$A$1:$J$66</definedName>
    <definedName name="_xlnm.Print_Area" localSheetId="6">'WS5014'!$A$1:$H$104</definedName>
    <definedName name="solver_adj" localSheetId="0" hidden="1">'1 Aggregate System'!$C$24,'1 Aggregate System'!$E$24,'1 Aggregate System'!$G$24,'1 Aggregate System'!$I$24,'1 Aggregate System'!$K$24</definedName>
    <definedName name="solver_adj" localSheetId="2" hidden="1">'3 Mix Design'!$B$25,'3 Mix Design'!$B$33</definedName>
    <definedName name="solver_cvg" localSheetId="0" hidden="1">0.0001</definedName>
    <definedName name="solver_cvg" localSheetId="2" hidden="1">0.0001</definedName>
    <definedName name="solver_drv" localSheetId="0" hidden="1">1</definedName>
    <definedName name="solver_drv" localSheetId="2" hidden="1">2</definedName>
    <definedName name="solver_eng" localSheetId="0" hidden="1">1</definedName>
    <definedName name="solver_eng" localSheetId="1" hidden="1">1</definedName>
    <definedName name="solver_eng" localSheetId="2" hidden="1">1</definedName>
    <definedName name="solver_est" localSheetId="0" hidden="1">1</definedName>
    <definedName name="solver_est" localSheetId="2" hidden="1">1</definedName>
    <definedName name="solver_itr" localSheetId="0" hidden="1">2147483647</definedName>
    <definedName name="solver_itr" localSheetId="2" hidden="1">2147483647</definedName>
    <definedName name="solver_lhs1" localSheetId="0" hidden="1">'1 Aggregate System'!$A$23</definedName>
    <definedName name="solver_lhs1" localSheetId="2" hidden="1">'3 Mix Design'!$B$25</definedName>
    <definedName name="solver_lhs2" localSheetId="0" hidden="1">'1 Aggregate System'!$F$47</definedName>
    <definedName name="solver_lhs2" localSheetId="2" hidden="1">'3 Mix Design'!$C$29</definedName>
    <definedName name="solver_lhs3" localSheetId="0" hidden="1">'1 Aggregate System'!$F$47</definedName>
    <definedName name="solver_lhs4" localSheetId="0" hidden="1">'1 Aggregate System'!$F$48</definedName>
    <definedName name="solver_lhs5" localSheetId="0" hidden="1">'1 Aggregate System'!$K$17</definedName>
    <definedName name="solver_lhs6" localSheetId="0" hidden="1">'1 Aggregate System'!$O$40</definedName>
    <definedName name="solver_mip" localSheetId="0" hidden="1">2147483647</definedName>
    <definedName name="solver_mip" localSheetId="2" hidden="1">2147483647</definedName>
    <definedName name="solver_mni" localSheetId="0" hidden="1">30</definedName>
    <definedName name="solver_mni" localSheetId="2" hidden="1">30</definedName>
    <definedName name="solver_mrt" localSheetId="0" hidden="1">0.075</definedName>
    <definedName name="solver_mrt" localSheetId="2" hidden="1">0.075</definedName>
    <definedName name="solver_msl" localSheetId="0" hidden="1">2</definedName>
    <definedName name="solver_msl" localSheetId="2" hidden="1">2</definedName>
    <definedName name="solver_neg" localSheetId="0" hidden="1">1</definedName>
    <definedName name="solver_neg" localSheetId="1" hidden="1">1</definedName>
    <definedName name="solver_neg" localSheetId="2" hidden="1">1</definedName>
    <definedName name="solver_nod" localSheetId="0" hidden="1">2147483647</definedName>
    <definedName name="solver_nod" localSheetId="2" hidden="1">2147483647</definedName>
    <definedName name="solver_num" localSheetId="0" hidden="1">6</definedName>
    <definedName name="solver_num" localSheetId="1" hidden="1">0</definedName>
    <definedName name="solver_num" localSheetId="2" hidden="1">2</definedName>
    <definedName name="solver_nwt" localSheetId="0" hidden="1">1</definedName>
    <definedName name="solver_nwt" localSheetId="2" hidden="1">1</definedName>
    <definedName name="solver_opt" localSheetId="0" hidden="1">'1 Aggregate System'!$P$42</definedName>
    <definedName name="solver_opt" localSheetId="1" hidden="1">'2 Paste Quality'!$B$27</definedName>
    <definedName name="solver_opt" localSheetId="2" hidden="1">'3 Mix Design'!$F$23</definedName>
    <definedName name="solver_pre" localSheetId="0" hidden="1">0.001</definedName>
    <definedName name="solver_pre" localSheetId="2" hidden="1">0.001</definedName>
    <definedName name="solver_rbv" localSheetId="0" hidden="1">1</definedName>
    <definedName name="solver_rbv" localSheetId="2" hidden="1">2</definedName>
    <definedName name="solver_rel1" localSheetId="0" hidden="1">2</definedName>
    <definedName name="solver_rel1" localSheetId="2" hidden="1">3</definedName>
    <definedName name="solver_rel2" localSheetId="0" hidden="1">1</definedName>
    <definedName name="solver_rel2" localSheetId="2" hidden="1">3</definedName>
    <definedName name="solver_rel3" localSheetId="0" hidden="1">3</definedName>
    <definedName name="solver_rel4" localSheetId="0" hidden="1">3</definedName>
    <definedName name="solver_rel5" localSheetId="0" hidden="1">2</definedName>
    <definedName name="solver_rel6" localSheetId="0" hidden="1">2</definedName>
    <definedName name="solver_rhs1" localSheetId="0" hidden="1">100</definedName>
    <definedName name="solver_rhs1" localSheetId="2" hidden="1">520</definedName>
    <definedName name="solver_rhs2" localSheetId="0" hidden="1">34</definedName>
    <definedName name="solver_rhs2" localSheetId="2" hidden="1">125</definedName>
    <definedName name="solver_rhs3" localSheetId="0" hidden="1">24</definedName>
    <definedName name="solver_rhs4" localSheetId="0" hidden="1">15</definedName>
    <definedName name="solver_rhs5" localSheetId="0" hidden="1">0</definedName>
    <definedName name="solver_rhs6" localSheetId="0" hidden="1">0</definedName>
    <definedName name="solver_rlx" localSheetId="0" hidden="1">2</definedName>
    <definedName name="solver_rlx" localSheetId="2" hidden="1">2</definedName>
    <definedName name="solver_rsd" localSheetId="0" hidden="1">0</definedName>
    <definedName name="solver_rsd" localSheetId="2" hidden="1">0</definedName>
    <definedName name="solver_scl" localSheetId="0" hidden="1">1</definedName>
    <definedName name="solver_scl" localSheetId="2" hidden="1">2</definedName>
    <definedName name="solver_sho" localSheetId="0" hidden="1">2</definedName>
    <definedName name="solver_sho" localSheetId="2" hidden="1">2</definedName>
    <definedName name="solver_ssz" localSheetId="0" hidden="1">100</definedName>
    <definedName name="solver_ssz" localSheetId="2" hidden="1">100</definedName>
    <definedName name="solver_tim" localSheetId="0" hidden="1">2147483647</definedName>
    <definedName name="solver_tim" localSheetId="2" hidden="1">2147483647</definedName>
    <definedName name="solver_tol" localSheetId="0" hidden="1">0.01</definedName>
    <definedName name="solver_tol" localSheetId="2" hidden="1">0.01</definedName>
    <definedName name="solver_typ" localSheetId="0" hidden="1">2</definedName>
    <definedName name="solver_typ" localSheetId="1" hidden="1">1</definedName>
    <definedName name="solver_typ" localSheetId="2" hidden="1">3</definedName>
    <definedName name="solver_val" localSheetId="0" hidden="1">0</definedName>
    <definedName name="solver_val" localSheetId="1" hidden="1">0</definedName>
    <definedName name="solver_val" localSheetId="2" hidden="1">27.2</definedName>
    <definedName name="solver_ver" localSheetId="0" hidden="1">3</definedName>
    <definedName name="solver_ver" localSheetId="1" hidden="1">3</definedName>
    <definedName name="solver_ver" localSheetId="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0" l="1"/>
  <c r="E8" i="3"/>
  <c r="A8" i="10"/>
  <c r="A8" i="3"/>
  <c r="E6" i="10"/>
  <c r="E6" i="3"/>
  <c r="A6" i="10"/>
  <c r="A6" i="3"/>
  <c r="L4" i="10"/>
  <c r="H4" i="3"/>
  <c r="H4" i="10"/>
  <c r="E4" i="3"/>
  <c r="E4" i="10"/>
  <c r="C4" i="3"/>
  <c r="A4" i="10"/>
  <c r="A4" i="3"/>
  <c r="J1" i="10"/>
  <c r="I1" i="3"/>
  <c r="L11" i="10"/>
  <c r="L10" i="10"/>
  <c r="L12" i="10" l="1"/>
  <c r="H36" i="10"/>
  <c r="F36" i="10"/>
  <c r="D36" i="10"/>
  <c r="H35" i="10"/>
  <c r="F35" i="10"/>
  <c r="D35" i="10"/>
  <c r="J34" i="10"/>
  <c r="K21" i="10" s="1"/>
  <c r="K19" i="10"/>
  <c r="I19" i="10"/>
  <c r="G18" i="10"/>
  <c r="G20" i="10" s="1"/>
  <c r="K17" i="10"/>
  <c r="K18" i="10" s="1"/>
  <c r="I17" i="10"/>
  <c r="I18" i="10" s="1"/>
  <c r="K20" i="10" l="1"/>
  <c r="I20" i="10"/>
  <c r="M20" i="10" s="1"/>
  <c r="K22" i="10"/>
  <c r="G21" i="10"/>
  <c r="G22" i="10" s="1"/>
  <c r="I21" i="10"/>
  <c r="I22" i="10" l="1"/>
  <c r="M22" i="10" s="1"/>
  <c r="O27" i="1"/>
  <c r="V38" i="4"/>
  <c r="E38" i="10" l="1"/>
  <c r="D25" i="2"/>
  <c r="M9" i="8"/>
  <c r="M18" i="1"/>
  <c r="B31" i="3" l="1"/>
  <c r="D14" i="3" s="1"/>
  <c r="D22" i="3" l="1"/>
  <c r="F22" i="3" s="1"/>
  <c r="M12" i="1"/>
  <c r="C23" i="1" l="1"/>
  <c r="E23" i="1"/>
  <c r="D23" i="1"/>
  <c r="G18" i="3"/>
  <c r="G20" i="3"/>
  <c r="G19" i="3"/>
  <c r="F13" i="2"/>
  <c r="F12" i="2"/>
  <c r="F11" i="2"/>
  <c r="B4" i="6"/>
  <c r="B3" i="6"/>
  <c r="B2" i="6"/>
  <c r="B32" i="2" l="1"/>
  <c r="B31" i="2"/>
  <c r="B30" i="2"/>
  <c r="G5" i="9" l="1"/>
  <c r="E9" i="9"/>
  <c r="E7" i="9"/>
  <c r="E5" i="9"/>
  <c r="A9" i="9"/>
  <c r="A7" i="9"/>
  <c r="C5" i="9"/>
  <c r="A5" i="9"/>
  <c r="G53" i="9"/>
  <c r="E57" i="9"/>
  <c r="E55" i="9"/>
  <c r="E53" i="9"/>
  <c r="C53" i="9"/>
  <c r="A57" i="9"/>
  <c r="A55" i="9"/>
  <c r="A53" i="9"/>
  <c r="C18" i="1"/>
  <c r="J4" i="6" s="1"/>
  <c r="I1" i="2"/>
  <c r="E8" i="2"/>
  <c r="E6" i="2"/>
  <c r="H4" i="2"/>
  <c r="E4" i="2"/>
  <c r="A8" i="2"/>
  <c r="A6" i="2"/>
  <c r="A4" i="2"/>
  <c r="C4" i="2"/>
  <c r="B32" i="3"/>
  <c r="D15" i="3" s="1"/>
  <c r="B30" i="3"/>
  <c r="C15" i="3"/>
  <c r="C14" i="3"/>
  <c r="C13" i="3"/>
  <c r="C21" i="3"/>
  <c r="C20" i="3"/>
  <c r="C19" i="3"/>
  <c r="C18" i="3"/>
  <c r="C17" i="3"/>
  <c r="C16" i="3"/>
  <c r="B15" i="3"/>
  <c r="B14" i="3"/>
  <c r="B13" i="3"/>
  <c r="D34" i="2"/>
  <c r="D33" i="2"/>
  <c r="D32" i="2"/>
  <c r="D31" i="2"/>
  <c r="D30" i="2"/>
  <c r="C34" i="2"/>
  <c r="C33" i="2"/>
  <c r="C32" i="2"/>
  <c r="C31" i="2"/>
  <c r="C30" i="2"/>
  <c r="A34" i="2"/>
  <c r="A33" i="2"/>
  <c r="A32" i="2"/>
  <c r="A31" i="2"/>
  <c r="A30" i="2"/>
  <c r="B34" i="2"/>
  <c r="B33" i="2"/>
  <c r="G23" i="1"/>
  <c r="B23" i="1"/>
  <c r="C16" i="2"/>
  <c r="D13" i="3" l="1"/>
  <c r="C25" i="3" l="1"/>
  <c r="C31" i="3"/>
  <c r="C32" i="3"/>
  <c r="P38" i="1" l="1"/>
  <c r="P37" i="1"/>
  <c r="P36" i="1"/>
  <c r="P35" i="1"/>
  <c r="P34" i="1"/>
  <c r="P33" i="1"/>
  <c r="P32" i="1"/>
  <c r="P45" i="1" l="1"/>
  <c r="D99" i="9"/>
  <c r="D98" i="9"/>
  <c r="D37" i="2"/>
  <c r="M16" i="1" l="1"/>
  <c r="E34" i="2" s="1"/>
  <c r="M15" i="1"/>
  <c r="E33" i="2" s="1"/>
  <c r="M14" i="1"/>
  <c r="M13" i="1"/>
  <c r="E32" i="2" l="1"/>
  <c r="E31" i="2"/>
  <c r="E30" i="2"/>
  <c r="E37" i="1"/>
  <c r="L53" i="1" l="1"/>
  <c r="M53" i="1" l="1"/>
  <c r="E81" i="9" s="1"/>
  <c r="O43" i="1"/>
  <c r="O42" i="1"/>
  <c r="O41" i="1"/>
  <c r="H17" i="1"/>
  <c r="I17" i="1"/>
  <c r="J17" i="1"/>
  <c r="H40" i="1"/>
  <c r="C58" i="4"/>
  <c r="AI24" i="4"/>
  <c r="AI23" i="4"/>
  <c r="AG24" i="4"/>
  <c r="AG23" i="4"/>
  <c r="AE24" i="4"/>
  <c r="AE23" i="4"/>
  <c r="AC24" i="4"/>
  <c r="AC23" i="4"/>
  <c r="AA24" i="4"/>
  <c r="AA23" i="4"/>
  <c r="O5" i="4"/>
  <c r="G8" i="4" s="1"/>
  <c r="D20" i="4"/>
  <c r="D19" i="4"/>
  <c r="D18" i="4"/>
  <c r="D17" i="4"/>
  <c r="D16" i="4"/>
  <c r="D15" i="4"/>
  <c r="D14" i="4"/>
  <c r="D13" i="4"/>
  <c r="D12" i="4"/>
  <c r="D11" i="4"/>
  <c r="D10" i="4"/>
  <c r="C20" i="4"/>
  <c r="C19" i="4"/>
  <c r="C18" i="4"/>
  <c r="C17" i="4"/>
  <c r="C16" i="4"/>
  <c r="C15" i="4"/>
  <c r="C14" i="4"/>
  <c r="C13" i="4"/>
  <c r="C12" i="4"/>
  <c r="C11" i="4"/>
  <c r="C10" i="4"/>
  <c r="D9" i="4"/>
  <c r="C9" i="4"/>
  <c r="D8" i="4"/>
  <c r="C8" i="4"/>
  <c r="F6" i="4"/>
  <c r="E6" i="4"/>
  <c r="D6" i="4"/>
  <c r="C6" i="4"/>
  <c r="E4" i="4"/>
  <c r="D4" i="4"/>
  <c r="C4" i="4"/>
  <c r="A20" i="3"/>
  <c r="A19" i="3"/>
  <c r="A18" i="3"/>
  <c r="A17" i="3"/>
  <c r="A16" i="3"/>
  <c r="A15" i="3"/>
  <c r="A14" i="3"/>
  <c r="A13" i="3"/>
  <c r="B78" i="9"/>
  <c r="G97" i="9"/>
  <c r="D97" i="9"/>
  <c r="B97" i="9"/>
  <c r="B99" i="9"/>
  <c r="B98" i="9"/>
  <c r="B93" i="9"/>
  <c r="B92" i="9"/>
  <c r="B91" i="9"/>
  <c r="B90" i="9"/>
  <c r="B89" i="9"/>
  <c r="B88" i="9"/>
  <c r="B87" i="9"/>
  <c r="B86" i="9"/>
  <c r="B85" i="9"/>
  <c r="B84" i="9"/>
  <c r="B83" i="9"/>
  <c r="B82" i="9"/>
  <c r="B81" i="9"/>
  <c r="C93" i="9"/>
  <c r="C92" i="9"/>
  <c r="C91" i="9"/>
  <c r="C90" i="9"/>
  <c r="C89" i="9"/>
  <c r="C88" i="9"/>
  <c r="C87" i="9"/>
  <c r="C86" i="9"/>
  <c r="C85" i="9"/>
  <c r="C84" i="9"/>
  <c r="C83" i="9"/>
  <c r="C82" i="9"/>
  <c r="C81" i="9"/>
  <c r="D81" i="9"/>
  <c r="D21" i="3"/>
  <c r="E21" i="3"/>
  <c r="E15" i="3"/>
  <c r="F15" i="3" s="1"/>
  <c r="E14" i="3"/>
  <c r="F14" i="3" s="1"/>
  <c r="E13" i="3"/>
  <c r="F13" i="3" s="1"/>
  <c r="P39" i="1"/>
  <c r="F21" i="3" l="1"/>
  <c r="C30" i="3"/>
  <c r="B42" i="2"/>
  <c r="K17" i="1"/>
  <c r="L70" i="4" l="1"/>
  <c r="L69" i="4"/>
  <c r="L68" i="4"/>
  <c r="L67" i="4"/>
  <c r="L66" i="4"/>
  <c r="D66" i="4"/>
  <c r="L65" i="4"/>
  <c r="I65" i="4"/>
  <c r="D53" i="4"/>
  <c r="D52" i="4"/>
  <c r="D51" i="4"/>
  <c r="D50" i="4"/>
  <c r="D38" i="4"/>
  <c r="V37" i="4"/>
  <c r="D37" i="4"/>
  <c r="E19" i="4" s="1"/>
  <c r="V36" i="4"/>
  <c r="D36" i="4"/>
  <c r="V35" i="4"/>
  <c r="D35" i="4"/>
  <c r="E17" i="4" s="1"/>
  <c r="V34" i="4"/>
  <c r="O34" i="4"/>
  <c r="D34" i="4"/>
  <c r="E16" i="4" s="1"/>
  <c r="V33" i="4"/>
  <c r="D33" i="4"/>
  <c r="V32" i="4"/>
  <c r="D32" i="4"/>
  <c r="V31" i="4"/>
  <c r="D31" i="4"/>
  <c r="E13" i="4" s="1"/>
  <c r="V30" i="4"/>
  <c r="D30" i="4"/>
  <c r="V29" i="4"/>
  <c r="D29" i="4"/>
  <c r="V28" i="4"/>
  <c r="D28" i="4"/>
  <c r="V27" i="4"/>
  <c r="D27" i="4"/>
  <c r="S26" i="4"/>
  <c r="D26" i="4"/>
  <c r="D25" i="4"/>
  <c r="G4" i="4"/>
  <c r="K39" i="1"/>
  <c r="AI38" i="4" s="1"/>
  <c r="AJ38" i="4" s="1"/>
  <c r="I39" i="1"/>
  <c r="AG38" i="4" s="1"/>
  <c r="AH38" i="4" s="1"/>
  <c r="G39" i="1"/>
  <c r="AE38" i="4" s="1"/>
  <c r="AF38" i="4" s="1"/>
  <c r="E39" i="1"/>
  <c r="AC38" i="4" s="1"/>
  <c r="C39" i="1"/>
  <c r="AA38" i="4" s="1"/>
  <c r="AB38" i="4" s="1"/>
  <c r="K38" i="1"/>
  <c r="AI37" i="4" s="1"/>
  <c r="AJ37" i="4" s="1"/>
  <c r="I38" i="1"/>
  <c r="AG37" i="4" s="1"/>
  <c r="AH37" i="4" s="1"/>
  <c r="G38" i="1"/>
  <c r="AE37" i="4" s="1"/>
  <c r="AF37" i="4" s="1"/>
  <c r="E38" i="1"/>
  <c r="AC37" i="4" s="1"/>
  <c r="AD37" i="4" s="1"/>
  <c r="C38" i="1"/>
  <c r="AA37" i="4" s="1"/>
  <c r="AB37" i="4" s="1"/>
  <c r="K37" i="1"/>
  <c r="AI36" i="4" s="1"/>
  <c r="AJ36" i="4" s="1"/>
  <c r="I37" i="1"/>
  <c r="AG36" i="4" s="1"/>
  <c r="AH36" i="4" s="1"/>
  <c r="G37" i="1"/>
  <c r="AE36" i="4" s="1"/>
  <c r="AF36" i="4" s="1"/>
  <c r="AC36" i="4"/>
  <c r="AD36" i="4" s="1"/>
  <c r="C37" i="1"/>
  <c r="AA36" i="4" s="1"/>
  <c r="AB36" i="4" s="1"/>
  <c r="K36" i="1"/>
  <c r="AI35" i="4" s="1"/>
  <c r="I36" i="1"/>
  <c r="AG35" i="4" s="1"/>
  <c r="AH35" i="4" s="1"/>
  <c r="G36" i="1"/>
  <c r="AE35" i="4" s="1"/>
  <c r="AF35" i="4" s="1"/>
  <c r="E36" i="1"/>
  <c r="AC35" i="4" s="1"/>
  <c r="AD35" i="4" s="1"/>
  <c r="C36" i="1"/>
  <c r="AA35" i="4" s="1"/>
  <c r="K35" i="1"/>
  <c r="AI34" i="4" s="1"/>
  <c r="AJ34" i="4" s="1"/>
  <c r="I35" i="1"/>
  <c r="AG34" i="4" s="1"/>
  <c r="G35" i="1"/>
  <c r="AE34" i="4" s="1"/>
  <c r="AF34" i="4" s="1"/>
  <c r="E35" i="1"/>
  <c r="AC34" i="4" s="1"/>
  <c r="AD34" i="4" s="1"/>
  <c r="C35" i="1"/>
  <c r="AA34" i="4" s="1"/>
  <c r="AB34" i="4" s="1"/>
  <c r="K34" i="1"/>
  <c r="AI33" i="4" s="1"/>
  <c r="AJ33" i="4" s="1"/>
  <c r="I34" i="1"/>
  <c r="AG33" i="4" s="1"/>
  <c r="G34" i="1"/>
  <c r="AE33" i="4" s="1"/>
  <c r="AF33" i="4" s="1"/>
  <c r="E34" i="1"/>
  <c r="AC33" i="4" s="1"/>
  <c r="AD33" i="4" s="1"/>
  <c r="C34" i="1"/>
  <c r="K33" i="1"/>
  <c r="AI32" i="4" s="1"/>
  <c r="I33" i="1"/>
  <c r="AG32" i="4" s="1"/>
  <c r="AH32" i="4" s="1"/>
  <c r="G33" i="1"/>
  <c r="AE32" i="4" s="1"/>
  <c r="AF32" i="4" s="1"/>
  <c r="E33" i="1"/>
  <c r="AC32" i="4" s="1"/>
  <c r="AD32" i="4" s="1"/>
  <c r="C33" i="1"/>
  <c r="AA32" i="4" s="1"/>
  <c r="K32" i="1"/>
  <c r="AI31" i="4" s="1"/>
  <c r="AJ31" i="4" s="1"/>
  <c r="I32" i="1"/>
  <c r="AG31" i="4" s="1"/>
  <c r="AH31" i="4" s="1"/>
  <c r="G32" i="1"/>
  <c r="AE31" i="4" s="1"/>
  <c r="AF31" i="4" s="1"/>
  <c r="E32" i="1"/>
  <c r="AC31" i="4" s="1"/>
  <c r="C32" i="1"/>
  <c r="AA31" i="4" s="1"/>
  <c r="AB31" i="4" s="1"/>
  <c r="K31" i="1"/>
  <c r="AI30" i="4" s="1"/>
  <c r="I31" i="1"/>
  <c r="AG30" i="4" s="1"/>
  <c r="AH30" i="4" s="1"/>
  <c r="G31" i="1"/>
  <c r="AE30" i="4" s="1"/>
  <c r="AF30" i="4" s="1"/>
  <c r="E31" i="1"/>
  <c r="AC30" i="4" s="1"/>
  <c r="AD30" i="4" s="1"/>
  <c r="C31" i="1"/>
  <c r="AA30" i="4" s="1"/>
  <c r="K30" i="1"/>
  <c r="AI29" i="4" s="1"/>
  <c r="AJ29" i="4" s="1"/>
  <c r="I30" i="1"/>
  <c r="AG29" i="4" s="1"/>
  <c r="AH29" i="4" s="1"/>
  <c r="G30" i="1"/>
  <c r="AE29" i="4" s="1"/>
  <c r="AF29" i="4" s="1"/>
  <c r="E30" i="1"/>
  <c r="AC29" i="4" s="1"/>
  <c r="AD29" i="4" s="1"/>
  <c r="C30" i="1"/>
  <c r="AA29" i="4" s="1"/>
  <c r="AB29" i="4" s="1"/>
  <c r="K29" i="1"/>
  <c r="AI28" i="4" s="1"/>
  <c r="AJ28" i="4" s="1"/>
  <c r="I29" i="1"/>
  <c r="AG28" i="4" s="1"/>
  <c r="G29" i="1"/>
  <c r="AE28" i="4" s="1"/>
  <c r="AF28" i="4" s="1"/>
  <c r="E29" i="1"/>
  <c r="AC28" i="4" s="1"/>
  <c r="AD28" i="4" s="1"/>
  <c r="C29" i="1"/>
  <c r="K28" i="1"/>
  <c r="AI27" i="4" s="1"/>
  <c r="AJ27" i="4" s="1"/>
  <c r="I28" i="1"/>
  <c r="AG27" i="4" s="1"/>
  <c r="AH27" i="4" s="1"/>
  <c r="G28" i="1"/>
  <c r="AE27" i="4" s="1"/>
  <c r="E28" i="1"/>
  <c r="AC27" i="4" s="1"/>
  <c r="AD27" i="4" s="1"/>
  <c r="C28" i="1"/>
  <c r="AA27" i="4" s="1"/>
  <c r="AB27" i="4" s="1"/>
  <c r="K27" i="1"/>
  <c r="AI26" i="4" s="1"/>
  <c r="AJ26" i="4" s="1"/>
  <c r="I27" i="1"/>
  <c r="AG26" i="4" s="1"/>
  <c r="AH26" i="4" s="1"/>
  <c r="G27" i="1"/>
  <c r="AE26" i="4" s="1"/>
  <c r="AF26" i="4" s="1"/>
  <c r="E27" i="1"/>
  <c r="AC26" i="4" s="1"/>
  <c r="AD26" i="4" s="1"/>
  <c r="C27" i="1"/>
  <c r="AA26" i="4" s="1"/>
  <c r="AB26" i="4" s="1"/>
  <c r="O25" i="1"/>
  <c r="K23" i="1"/>
  <c r="J23" i="1"/>
  <c r="I23" i="1"/>
  <c r="H23" i="1"/>
  <c r="F23" i="1"/>
  <c r="A23" i="1"/>
  <c r="L21" i="1"/>
  <c r="J21" i="1"/>
  <c r="H21" i="1"/>
  <c r="E20" i="3"/>
  <c r="E19" i="3"/>
  <c r="E18" i="3"/>
  <c r="E17" i="3"/>
  <c r="E16" i="3"/>
  <c r="G25" i="1" l="1"/>
  <c r="C25" i="1"/>
  <c r="O30" i="4"/>
  <c r="E12" i="4"/>
  <c r="G61" i="4"/>
  <c r="D62" i="4"/>
  <c r="M63" i="4"/>
  <c r="E10" i="4"/>
  <c r="O13" i="4" s="1"/>
  <c r="M66" i="4"/>
  <c r="E9" i="4"/>
  <c r="O38" i="4"/>
  <c r="E20" i="4"/>
  <c r="E66" i="4"/>
  <c r="O28" i="4"/>
  <c r="O32" i="4"/>
  <c r="E14" i="4"/>
  <c r="N14" i="4" s="1"/>
  <c r="O36" i="4"/>
  <c r="E18" i="4"/>
  <c r="M69" i="4"/>
  <c r="E11" i="4"/>
  <c r="E15" i="4"/>
  <c r="D61" i="4"/>
  <c r="D60" i="4" s="1"/>
  <c r="O26" i="4"/>
  <c r="E8" i="4"/>
  <c r="E25" i="1"/>
  <c r="AK26" i="4"/>
  <c r="AL26" i="4" s="1"/>
  <c r="AM26" i="4" s="1"/>
  <c r="K25" i="1"/>
  <c r="I25" i="1"/>
  <c r="L29" i="1"/>
  <c r="AA28" i="4"/>
  <c r="AB28" i="4" s="1"/>
  <c r="L34" i="1"/>
  <c r="AA33" i="4"/>
  <c r="AB33" i="4" s="1"/>
  <c r="AK37" i="4"/>
  <c r="L39" i="1"/>
  <c r="N21" i="1"/>
  <c r="L38" i="1"/>
  <c r="L37" i="1"/>
  <c r="L36" i="1"/>
  <c r="L35" i="1"/>
  <c r="L33" i="1"/>
  <c r="L32" i="1"/>
  <c r="L30" i="1"/>
  <c r="L28" i="1"/>
  <c r="L27" i="1"/>
  <c r="M27" i="1" s="1"/>
  <c r="L31" i="1"/>
  <c r="AK36" i="4"/>
  <c r="AK29" i="4"/>
  <c r="N13" i="4"/>
  <c r="N17" i="4"/>
  <c r="D65" i="4"/>
  <c r="E65" i="4" s="1"/>
  <c r="D63" i="4" s="1"/>
  <c r="D67" i="4"/>
  <c r="E67" i="4" s="1"/>
  <c r="G62" i="4" s="1"/>
  <c r="H61" i="4" s="1"/>
  <c r="AF27" i="4"/>
  <c r="AK27" i="4" s="1"/>
  <c r="AB30" i="4"/>
  <c r="AJ30" i="4"/>
  <c r="AD31" i="4"/>
  <c r="AK31" i="4" s="1"/>
  <c r="AH34" i="4"/>
  <c r="AK34" i="4" s="1"/>
  <c r="AB35" i="4"/>
  <c r="AJ35" i="4"/>
  <c r="AD38" i="4"/>
  <c r="AK38" i="4" s="1"/>
  <c r="G9" i="4"/>
  <c r="O18" i="4"/>
  <c r="AH28" i="4"/>
  <c r="AH33" i="4"/>
  <c r="N15" i="4"/>
  <c r="N19" i="4"/>
  <c r="AB32" i="4"/>
  <c r="AJ32" i="4"/>
  <c r="O14" i="4" l="1"/>
  <c r="P18" i="4"/>
  <c r="G18" i="4" s="1"/>
  <c r="P16" i="4"/>
  <c r="G16" i="4" s="1"/>
  <c r="O17" i="4"/>
  <c r="E62" i="4"/>
  <c r="P14" i="4"/>
  <c r="G14" i="4" s="1"/>
  <c r="P10" i="4"/>
  <c r="G10" i="4" s="1"/>
  <c r="P12" i="4"/>
  <c r="G12" i="4" s="1"/>
  <c r="N18" i="4"/>
  <c r="P15" i="4"/>
  <c r="G15" i="4" s="1"/>
  <c r="O15" i="4"/>
  <c r="O11" i="4"/>
  <c r="P11" i="4"/>
  <c r="G11" i="4" s="1"/>
  <c r="O16" i="4"/>
  <c r="O20" i="4"/>
  <c r="N16" i="4"/>
  <c r="N20" i="4"/>
  <c r="P19" i="4"/>
  <c r="G19" i="4" s="1"/>
  <c r="O19" i="4"/>
  <c r="O12" i="4"/>
  <c r="N12" i="4"/>
  <c r="P20" i="4"/>
  <c r="G20" i="4" s="1"/>
  <c r="P13" i="4"/>
  <c r="G13" i="4" s="1"/>
  <c r="P17" i="4"/>
  <c r="G17" i="4" s="1"/>
  <c r="AK33" i="4"/>
  <c r="AL33" i="4" s="1"/>
  <c r="AM33" i="4" s="1"/>
  <c r="AK28" i="4"/>
  <c r="AL28" i="4" s="1"/>
  <c r="AM28" i="4" s="1"/>
  <c r="AK35" i="4"/>
  <c r="AL35" i="4" s="1"/>
  <c r="AM35" i="4" s="1"/>
  <c r="M29" i="1"/>
  <c r="E28" i="4"/>
  <c r="F10" i="4" s="1"/>
  <c r="M35" i="1"/>
  <c r="E34" i="4"/>
  <c r="F16" i="4" s="1"/>
  <c r="H16" i="4" s="1"/>
  <c r="I16" i="4" s="1"/>
  <c r="M36" i="1"/>
  <c r="E35" i="4"/>
  <c r="F17" i="4" s="1"/>
  <c r="M31" i="1"/>
  <c r="E30" i="4"/>
  <c r="F12" i="4" s="1"/>
  <c r="M37" i="1"/>
  <c r="E36" i="4"/>
  <c r="F18" i="4" s="1"/>
  <c r="H18" i="4" s="1"/>
  <c r="I18" i="4" s="1"/>
  <c r="E26" i="4"/>
  <c r="F8" i="4" s="1"/>
  <c r="H8" i="4" s="1"/>
  <c r="I8" i="4" s="1"/>
  <c r="M28" i="1"/>
  <c r="E27" i="4"/>
  <c r="F9" i="4" s="1"/>
  <c r="H9" i="4" s="1"/>
  <c r="I9" i="4" s="1"/>
  <c r="M30" i="1"/>
  <c r="E29" i="4"/>
  <c r="F11" i="4" s="1"/>
  <c r="M39" i="1"/>
  <c r="E38" i="4"/>
  <c r="F20" i="4" s="1"/>
  <c r="M34" i="1"/>
  <c r="E33" i="4"/>
  <c r="F15" i="4" s="1"/>
  <c r="J3" i="6"/>
  <c r="J5" i="6" s="1"/>
  <c r="M38" i="1"/>
  <c r="E37" i="4"/>
  <c r="F19" i="4" s="1"/>
  <c r="M32" i="1"/>
  <c r="E31" i="4"/>
  <c r="F13" i="4" s="1"/>
  <c r="M33" i="1"/>
  <c r="E32" i="4"/>
  <c r="F14" i="4" s="1"/>
  <c r="AK30" i="4"/>
  <c r="AL30" i="4" s="1"/>
  <c r="AM30" i="4" s="1"/>
  <c r="AL34" i="4"/>
  <c r="AM34" i="4" s="1"/>
  <c r="AL38" i="4"/>
  <c r="AM38" i="4" s="1"/>
  <c r="AL31" i="4"/>
  <c r="AM31" i="4" s="1"/>
  <c r="AL27" i="4"/>
  <c r="AM27" i="4" s="1"/>
  <c r="AN27" i="4" s="1"/>
  <c r="AL37" i="4"/>
  <c r="AM37" i="4" s="1"/>
  <c r="AK32" i="4"/>
  <c r="AL32" i="4" s="1"/>
  <c r="AM32" i="4" s="1"/>
  <c r="AL29" i="4"/>
  <c r="AM29" i="4" s="1"/>
  <c r="E61" i="4"/>
  <c r="AL36" i="4"/>
  <c r="AM36" i="4" s="1"/>
  <c r="H14" i="4" l="1"/>
  <c r="I14" i="4" s="1"/>
  <c r="H10" i="4"/>
  <c r="I10" i="4" s="1"/>
  <c r="H20" i="4"/>
  <c r="I20" i="4" s="1"/>
  <c r="H13" i="4"/>
  <c r="I13" i="4" s="1"/>
  <c r="H12" i="4"/>
  <c r="I12" i="4" s="1"/>
  <c r="H15" i="4"/>
  <c r="I15" i="4" s="1"/>
  <c r="H11" i="4"/>
  <c r="I11" i="4" s="1"/>
  <c r="H19" i="4"/>
  <c r="I19" i="4" s="1"/>
  <c r="H17" i="4"/>
  <c r="I17" i="4" s="1"/>
  <c r="AN37" i="4"/>
  <c r="S37" i="4" s="1"/>
  <c r="AN35" i="4"/>
  <c r="S35" i="4" s="1"/>
  <c r="O36" i="1" s="1"/>
  <c r="AN29" i="4"/>
  <c r="S29" i="4" s="1"/>
  <c r="O30" i="1" s="1"/>
  <c r="AN32" i="4"/>
  <c r="S32" i="4" s="1"/>
  <c r="O33" i="1" s="1"/>
  <c r="S27" i="4"/>
  <c r="AN28" i="4"/>
  <c r="S28" i="4" s="1"/>
  <c r="O29" i="1" s="1"/>
  <c r="AN30" i="4"/>
  <c r="S30" i="4" s="1"/>
  <c r="AN31" i="4"/>
  <c r="S31" i="4" s="1"/>
  <c r="O32" i="1" s="1"/>
  <c r="AN36" i="4"/>
  <c r="S36" i="4" s="1"/>
  <c r="O37" i="1" s="1"/>
  <c r="AN38" i="4"/>
  <c r="S38" i="4" s="1"/>
  <c r="O39" i="1" s="1"/>
  <c r="L65" i="1" s="1"/>
  <c r="AN33" i="4"/>
  <c r="S33" i="4" s="1"/>
  <c r="AN34" i="4"/>
  <c r="S34" i="4" s="1"/>
  <c r="O35" i="1" s="1"/>
  <c r="N32" i="1"/>
  <c r="J2" i="6"/>
  <c r="N31" i="1"/>
  <c r="N36" i="1"/>
  <c r="N33" i="1"/>
  <c r="N38" i="1"/>
  <c r="N28" i="1"/>
  <c r="N30" i="1"/>
  <c r="N37" i="1"/>
  <c r="N35" i="1"/>
  <c r="N34" i="1"/>
  <c r="N29" i="1"/>
  <c r="N39" i="1"/>
  <c r="I21" i="4" l="1"/>
  <c r="H42" i="1" s="1"/>
  <c r="H21" i="4"/>
  <c r="H41" i="1" s="1"/>
  <c r="O28" i="1"/>
  <c r="L54" i="1" s="1"/>
  <c r="M65" i="1"/>
  <c r="E93" i="9" s="1"/>
  <c r="D93" i="9"/>
  <c r="U38" i="4"/>
  <c r="T38" i="4"/>
  <c r="W38" i="4"/>
  <c r="X38" i="4" s="1"/>
  <c r="O31" i="1"/>
  <c r="L57" i="1" s="1"/>
  <c r="M57" i="1" s="1"/>
  <c r="E85" i="9" s="1"/>
  <c r="O38" i="1"/>
  <c r="L64" i="1" s="1"/>
  <c r="M64" i="1" s="1"/>
  <c r="E92" i="9" s="1"/>
  <c r="O34" i="1"/>
  <c r="L60" i="1" s="1"/>
  <c r="M60" i="1" s="1"/>
  <c r="E88" i="9" s="1"/>
  <c r="T27" i="4"/>
  <c r="U27" i="4"/>
  <c r="W32" i="4"/>
  <c r="X32" i="4" s="1"/>
  <c r="L59" i="1"/>
  <c r="M59" i="1" s="1"/>
  <c r="E87" i="9" s="1"/>
  <c r="W34" i="4"/>
  <c r="X34" i="4" s="1"/>
  <c r="L61" i="1"/>
  <c r="M61" i="1" s="1"/>
  <c r="E89" i="9" s="1"/>
  <c r="U29" i="4"/>
  <c r="L56" i="1"/>
  <c r="M56" i="1" s="1"/>
  <c r="E84" i="9" s="1"/>
  <c r="T28" i="4"/>
  <c r="L55" i="1"/>
  <c r="M55" i="1" s="1"/>
  <c r="E83" i="9" s="1"/>
  <c r="T36" i="4"/>
  <c r="L63" i="1"/>
  <c r="M63" i="1" s="1"/>
  <c r="E91" i="9" s="1"/>
  <c r="W31" i="4"/>
  <c r="X31" i="4" s="1"/>
  <c r="L58" i="1"/>
  <c r="M58" i="1" s="1"/>
  <c r="E86" i="9" s="1"/>
  <c r="W35" i="4"/>
  <c r="X35" i="4" s="1"/>
  <c r="L62" i="1"/>
  <c r="M62" i="1" s="1"/>
  <c r="E90" i="9" s="1"/>
  <c r="T35" i="4"/>
  <c r="U35" i="4"/>
  <c r="F48" i="1"/>
  <c r="U36" i="4"/>
  <c r="W36" i="4"/>
  <c r="X36" i="4" s="1"/>
  <c r="F47" i="1"/>
  <c r="U34" i="4"/>
  <c r="T34" i="4"/>
  <c r="T31" i="4"/>
  <c r="W28" i="4"/>
  <c r="X28" i="4" s="1"/>
  <c r="U31" i="4"/>
  <c r="U28" i="4"/>
  <c r="U32" i="4"/>
  <c r="T32" i="4"/>
  <c r="T29" i="4"/>
  <c r="W29" i="4"/>
  <c r="X29" i="4" s="1"/>
  <c r="U37" i="4"/>
  <c r="T37" i="4"/>
  <c r="W37" i="4"/>
  <c r="X37" i="4" s="1"/>
  <c r="W30" i="4"/>
  <c r="X30" i="4" s="1"/>
  <c r="U30" i="4"/>
  <c r="T30" i="4"/>
  <c r="T33" i="4"/>
  <c r="W33" i="4"/>
  <c r="X33" i="4" s="1"/>
  <c r="U33" i="4"/>
  <c r="M54" i="1" l="1"/>
  <c r="E82" i="9" s="1"/>
  <c r="D82" i="9"/>
  <c r="L47" i="1"/>
  <c r="G98" i="9" s="1"/>
  <c r="E99" i="9"/>
  <c r="L48" i="1"/>
  <c r="G99" i="9" s="1"/>
  <c r="D85" i="9"/>
  <c r="D92" i="9"/>
  <c r="D88" i="9"/>
  <c r="X39" i="4"/>
  <c r="P42" i="1" s="1"/>
  <c r="D86" i="9"/>
  <c r="D83" i="9"/>
  <c r="D84" i="9"/>
  <c r="D89" i="9"/>
  <c r="D90" i="9"/>
  <c r="D91" i="9"/>
  <c r="D87" i="9"/>
  <c r="E98" i="9"/>
  <c r="U39" i="4"/>
  <c r="T39" i="4"/>
  <c r="W39" i="4"/>
  <c r="P41" i="1" s="1"/>
  <c r="S39" i="4" l="1"/>
  <c r="O40" i="1" s="1"/>
  <c r="D18" i="3" l="1"/>
  <c r="F18" i="3" s="1"/>
  <c r="D20" i="3"/>
  <c r="F20" i="3" s="1"/>
  <c r="D17" i="3"/>
  <c r="F17" i="3" s="1"/>
  <c r="D19" i="3"/>
  <c r="F19" i="3" s="1"/>
  <c r="D16" i="3"/>
  <c r="F16" i="3" l="1"/>
  <c r="F23" i="3" s="1"/>
  <c r="C33" i="3"/>
  <c r="D23" i="3"/>
  <c r="C26" i="3" l="1"/>
  <c r="C27" i="3" l="1"/>
  <c r="C28" i="3" s="1"/>
  <c r="C29" i="3" s="1"/>
  <c r="C10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tc={DE4F0863-A90B-4CE5-9A57-BC398A890D9D}</author>
    <author>tc={E718AB51-F73A-4EE3-8639-D4FD1C2522D0}</author>
    <author>tc={AF98BCBB-C073-4E78-8247-1EBB30FFC39B}</author>
    <author>tc={9A8CEB3F-3FF4-41D1-90E5-9CFE9A71C044}</author>
    <author>tc={F19D2392-3CDB-4E61-849D-3A075A25D2C7}</author>
    <author>tc={F9509165-22E6-4D37-BD6E-8F7345347C49}</author>
  </authors>
  <commentList>
    <comment ref="G14" authorId="0" shapeId="0" xr:uid="{DE4F0863-A90B-4CE5-9A57-BC398A890D9D}">
      <text>
        <t>[Threaded comment]
Your version of Excel allows you to read this threaded comment; however, any edits to it will get removed if the file is opened in a newer version of Excel. Learn more: https://go.microsoft.com/fwlink/?linkid=870924
Comment:
    Enter 1 if only using Coause A and NOT Coarse B stone - For Calculations</t>
      </text>
    </comment>
    <comment ref="G15" authorId="1" shapeId="0" xr:uid="{E718AB51-F73A-4EE3-8639-D4FD1C2522D0}">
      <text>
        <t>[Threaded comment]
Your version of Excel allows you to read this threaded comment; however, any edits to it will get removed if the file is opened in a newer version of Excel. Learn more: https://go.microsoft.com/fwlink/?linkid=870924
Comment:
    Keep as 1 if not using - For Calculations</t>
      </text>
    </comment>
    <comment ref="G16" authorId="2" shapeId="0" xr:uid="{AF98BCBB-C073-4E78-8247-1EBB30FFC39B}">
      <text>
        <t>[Threaded comment]
Your version of Excel allows you to read this threaded comment; however, any edits to it will get removed if the file is opened in a newer version of Excel. Learn more: https://go.microsoft.com/fwlink/?linkid=870924
Comment:
    Keep as 1 if not using - For Calculations</t>
      </text>
    </comment>
    <comment ref="J23" authorId="3" shapeId="0" xr:uid="{9A8CEB3F-3FF4-41D1-90E5-9CFE9A71C044}">
      <text>
        <t>[Threaded comment]
Your version of Excel allows you to read this threaded comment; however, any edits to it will get removed if the file is opened in a newer version of Excel. Learn more: https://go.microsoft.com/fwlink/?linkid=870924
Comment:
    Hide this - never used.  Intermediate 2 very rarely used.</t>
      </text>
    </comment>
    <comment ref="A47" authorId="4" shapeId="0" xr:uid="{F19D2392-3CDB-4E61-849D-3A075A25D2C7}">
      <text>
        <t>[Threaded comment]
Your version of Excel allows you to read this threaded comment; however, any edits to it will get removed if the file is opened in a newer version of Excel. Learn more: https://go.microsoft.com/fwlink/?linkid=870924
Comment:
    The amount needed for workability</t>
      </text>
    </comment>
    <comment ref="A48" authorId="5" shapeId="0" xr:uid="{F9509165-22E6-4D37-BD6E-8F7345347C49}">
      <text>
        <t>[Threaded comment]
Your version of Excel allows you to read this threaded comment; however, any edits to it will get removed if the file is opened in a newer version of Excel. Learn more: https://go.microsoft.com/fwlink/?linkid=870924
Comment:
    Amount needed for cohesion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tc={DE894D54-EBCD-4F56-8F57-4CAEC7FC8AB7}</author>
    <author>tc={21D202DF-74DE-4A0D-AB73-493301DA7010}</author>
    <author>tc={34C63501-6236-4D07-9578-BD94D84BEA89}</author>
    <author>tc={D1F4FC26-7520-4351-AF5C-7297B33E5E0B}</author>
  </authors>
  <commentList>
    <comment ref="E13" authorId="0" shapeId="0" xr:uid="{DE894D54-EBCD-4F56-8F57-4CAEC7FC8AB7}">
      <text>
        <t>[Threaded comment]
Your version of Excel allows you to read this threaded comment; however, any edits to it will get removed if the file is opened in a newer version of Excel. Learn more: https://go.microsoft.com/fwlink/?linkid=870924
Comment:
    Keep as 1 if not using - For Calculations</t>
      </text>
    </comment>
    <comment ref="E14" authorId="1" shapeId="0" xr:uid="{21D202DF-74DE-4A0D-AB73-493301DA7010}">
      <text>
        <t>[Threaded comment]
Your version of Excel allows you to read this threaded comment; however, any edits to it will get removed if the file is opened in a newer version of Excel. Learn more: https://go.microsoft.com/fwlink/?linkid=870924
Comment:
    Keep as 1 if not using - For Calculations</t>
      </text>
    </comment>
    <comment ref="D25" authorId="2" shapeId="0" xr:uid="{34C63501-6236-4D07-9578-BD94D84BEA89}">
      <text>
        <t>[Threaded comment]
Your version of Excel allows you to read this threaded comment; however, any edits to it will get removed if the file is opened in a newer version of Excel. Learn more: https://go.microsoft.com/fwlink/?linkid=870924
Comment:
    From Tab 'Unit Weight_Voids in Aggregates'
Use this number for voids in aggregates (B25) if you choose to use this tab for calculations</t>
      </text>
    </comment>
    <comment ref="D29" authorId="3" shapeId="0" xr:uid="{D1F4FC26-7520-4351-AF5C-7297B33E5E0B}">
      <text>
        <t>[Threaded comment]
Your version of Excel allows you to read this threaded comment; however, any edits to it will get removed if the file is opened in a newer version of Excel. Learn more: https://go.microsoft.com/fwlink/?linkid=870924
Comment:
    Find on WisDOT APL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tc={797A6F45-B402-4649-9DF5-81A0C1CB22D6}</author>
    <author>tc={C28A58CE-60EA-458D-ACDF-4964D99CB719}</author>
    <author>tc={FE348412-3CD0-4AA6-B334-D2BA86782E9D}</author>
    <author>tc={A9786EF0-55AC-4C50-ABA2-72701618CF5D}</author>
    <author>tc={C1939E00-4A5D-4731-9F19-5B36B5538BA0}</author>
    <author>tc={642C1A15-0135-447E-A9A8-1026460957F0}</author>
  </authors>
  <commentList>
    <comment ref="E16" authorId="0" shapeId="0" xr:uid="{797A6F45-B402-4649-9DF5-81A0C1CB22D6}">
      <text>
        <t>[Threaded comment]
Your version of Excel allows you to read this threaded comment; however, any edits to it will get removed if the file is opened in a newer version of Excel. Learn more: https://go.microsoft.com/fwlink/?linkid=870924
Comment:
    SSD</t>
      </text>
    </comment>
    <comment ref="E17" authorId="1" shapeId="0" xr:uid="{C28A58CE-60EA-458D-ACDF-4964D99CB719}">
      <text>
        <t>[Threaded comment]
Your version of Excel allows you to read this threaded comment; however, any edits to it will get removed if the file is opened in a newer version of Excel. Learn more: https://go.microsoft.com/fwlink/?linkid=870924
Comment:
    SSD</t>
      </text>
    </comment>
    <comment ref="E18" authorId="2" shapeId="0" xr:uid="{FE348412-3CD0-4AA6-B334-D2BA86782E9D}">
      <text>
        <t>[Threaded comment]
Your version of Excel allows you to read this threaded comment; however, any edits to it will get removed if the file is opened in a newer version of Excel. Learn more: https://go.microsoft.com/fwlink/?linkid=870924
Comment:
    SSD</t>
      </text>
    </comment>
    <comment ref="E19" authorId="3" shapeId="0" xr:uid="{A9786EF0-55AC-4C50-ABA2-72701618CF5D}">
      <text>
        <t>[Threaded comment]
Your version of Excel allows you to read this threaded comment; however, any edits to it will get removed if the file is opened in a newer version of Excel. Learn more: https://go.microsoft.com/fwlink/?linkid=870924
Comment:
    SSD</t>
      </text>
    </comment>
    <comment ref="E20" authorId="4" shapeId="0" xr:uid="{C1939E00-4A5D-4731-9F19-5B36B5538BA0}">
      <text>
        <t>[Threaded comment]
Your version of Excel allows you to read this threaded comment; however, any edits to it will get removed if the file is opened in a newer version of Excel. Learn more: https://go.microsoft.com/fwlink/?linkid=870924
Comment:
    SSD</t>
      </text>
    </comment>
    <comment ref="B33" authorId="5" shapeId="0" xr:uid="{642C1A15-0135-447E-A9A8-1026460957F0}">
      <text>
        <t>[Threaded comment]
Your version of Excel allows you to read this threaded comment; however, any edits to it will get removed if the file is opened in a newer version of Excel. Learn more: https://go.microsoft.com/fwlink/?linkid=870924
Comment:
    Input target Total Agg Weight (see table in section 501.3.2.2 - ie. for Grade A concrete input 3120 lb)
This input is required for solver to function properly.</t>
      </text>
    </comment>
  </commentList>
</comments>
</file>

<file path=xl/sharedStrings.xml><?xml version="1.0" encoding="utf-8"?>
<sst xmlns="http://schemas.openxmlformats.org/spreadsheetml/2006/main" count="526" uniqueCount="311">
  <si>
    <t>Computation cells are locked</t>
  </si>
  <si>
    <t>Enter the nominal maximum size</t>
  </si>
  <si>
    <t xml:space="preserve">This is the Official version to be used on Wisconsin DOT projects when seeking approval for optimized gradation and optimized mixtures. </t>
  </si>
  <si>
    <t>Enter the gradations of the aggregates</t>
  </si>
  <si>
    <t>Solver</t>
  </si>
  <si>
    <t>Solve</t>
  </si>
  <si>
    <t xml:space="preserve"> </t>
  </si>
  <si>
    <t>Enter the target air content of the mixture (Air %)</t>
  </si>
  <si>
    <t>Don’t touch - this is the heart of a lot of the number crunching</t>
  </si>
  <si>
    <t>GENERAL INSTRUCTIONS PRIOR TO USING THIS SPREADSHEET</t>
  </si>
  <si>
    <t>1)</t>
  </si>
  <si>
    <t>Upon downloading and opening the spreadsheet select Enable Editing if you get a protected view warning.</t>
  </si>
  <si>
    <t>2)</t>
  </si>
  <si>
    <t>If you do not have the Excel Solver Add-in active on your machine you will need to  enable it by selecting: file, options, Add-ins and enable the Solver Add-in.</t>
  </si>
  <si>
    <t>3)</t>
  </si>
  <si>
    <t>Save the spreadsheet on your local computer.</t>
  </si>
  <si>
    <t>4)</t>
  </si>
  <si>
    <t>Close the spreadsheet</t>
  </si>
  <si>
    <t>5)</t>
  </si>
  <si>
    <t>Reopen the saved spreadsheet.</t>
  </si>
  <si>
    <t>CONCRETE MIXTURE DESIGN</t>
  </si>
  <si>
    <t>Date</t>
  </si>
  <si>
    <t>Project Information</t>
  </si>
  <si>
    <t>Construction Project ID</t>
  </si>
  <si>
    <t>Contract ID</t>
  </si>
  <si>
    <t>Highway</t>
  </si>
  <si>
    <t>County</t>
  </si>
  <si>
    <t>Project Title</t>
  </si>
  <si>
    <t>Project Limits</t>
  </si>
  <si>
    <t>Prime Contractor</t>
  </si>
  <si>
    <t>Subcontractor (if applicable)</t>
  </si>
  <si>
    <t>AGGREGATE SOURCES</t>
  </si>
  <si>
    <t>Type</t>
  </si>
  <si>
    <t>Description</t>
  </si>
  <si>
    <t>S.G. (OD)</t>
  </si>
  <si>
    <t>S.G. (SSD)</t>
  </si>
  <si>
    <t>CEMENTITIOUS</t>
  </si>
  <si>
    <t>SIEVE ANALYSIS DATA</t>
  </si>
  <si>
    <t>Max nominal aggregate size inch (0.75, 1.0 or 1.5)</t>
  </si>
  <si>
    <t>Inch</t>
  </si>
  <si>
    <t>Combined</t>
  </si>
  <si>
    <t>Coarse</t>
  </si>
  <si>
    <t>Fine</t>
  </si>
  <si>
    <t>Percent</t>
  </si>
  <si>
    <t>Cum.</t>
  </si>
  <si>
    <t>Sieve</t>
  </si>
  <si>
    <t>Retained</t>
  </si>
  <si>
    <t>Fineness</t>
  </si>
  <si>
    <t>Percent mass</t>
  </si>
  <si>
    <t>Passing</t>
  </si>
  <si>
    <t>Volumetric</t>
  </si>
  <si>
    <t>Modulus</t>
  </si>
  <si>
    <t>Percent vol.</t>
  </si>
  <si>
    <t>Sieve:</t>
  </si>
  <si>
    <t>% Pass</t>
  </si>
  <si>
    <t>% Mix</t>
  </si>
  <si>
    <t>%</t>
  </si>
  <si>
    <t>2"</t>
  </si>
  <si>
    <t>1 1/2"</t>
  </si>
  <si>
    <t>1"</t>
  </si>
  <si>
    <t>3/4"</t>
  </si>
  <si>
    <t>1/2"</t>
  </si>
  <si>
    <t>3/8"</t>
  </si>
  <si>
    <t># 4</t>
  </si>
  <si>
    <t># 8</t>
  </si>
  <si>
    <t># 16</t>
  </si>
  <si>
    <t># 30</t>
  </si>
  <si>
    <t># 50</t>
  </si>
  <si>
    <t># 100</t>
  </si>
  <si>
    <t># 200</t>
  </si>
  <si>
    <t>.</t>
  </si>
  <si>
    <t>Tarantula error</t>
  </si>
  <si>
    <t>Power 45 least difference</t>
  </si>
  <si>
    <t>Power 45 error</t>
  </si>
  <si>
    <t>TARANTULA CURVE LIMITS (percent retained chart)</t>
  </si>
  <si>
    <t>Sieves Retained on</t>
  </si>
  <si>
    <t>Limit</t>
  </si>
  <si>
    <t>Mix Retained (%)</t>
  </si>
  <si>
    <t>Results</t>
  </si>
  <si>
    <t>#30 - #200</t>
  </si>
  <si>
    <t>b/w 24% and 34%</t>
  </si>
  <si>
    <t>#8, #16, and #30</t>
  </si>
  <si>
    <t>&gt;15%</t>
  </si>
  <si>
    <t>TARANTULA RESULTS</t>
  </si>
  <si>
    <t>Sieve Size</t>
  </si>
  <si>
    <t>Spec Defined % Retained</t>
  </si>
  <si>
    <t>Proposed Retained Volumetric</t>
  </si>
  <si>
    <t>≤5</t>
  </si>
  <si>
    <t>≤16</t>
  </si>
  <si>
    <t>≤20</t>
  </si>
  <si>
    <t xml:space="preserve"> 4-20</t>
  </si>
  <si>
    <t>≤12</t>
  </si>
  <si>
    <t>≤10</t>
  </si>
  <si>
    <t>CEMENTITIOUS MATERIAL</t>
  </si>
  <si>
    <t>Manufacturer</t>
  </si>
  <si>
    <t>Source</t>
  </si>
  <si>
    <t>Type/Class/Grade:</t>
  </si>
  <si>
    <t>Specific Gravity (S.G.)</t>
  </si>
  <si>
    <t>Cement</t>
  </si>
  <si>
    <t>Fly Ash</t>
  </si>
  <si>
    <t xml:space="preserve">Slag </t>
  </si>
  <si>
    <t>CONCRETE PROPERTIES</t>
  </si>
  <si>
    <t>w/cm</t>
  </si>
  <si>
    <t>Air %</t>
  </si>
  <si>
    <t>Slag</t>
  </si>
  <si>
    <t>Required Vp/Vv</t>
  </si>
  <si>
    <t>Sieve Analysis Data</t>
  </si>
  <si>
    <t>WATER</t>
  </si>
  <si>
    <t>Gal</t>
  </si>
  <si>
    <t>Water</t>
  </si>
  <si>
    <t>ADMIXTURE</t>
  </si>
  <si>
    <t>Name</t>
  </si>
  <si>
    <t>MIXTURE PROPORTIONS</t>
  </si>
  <si>
    <t>Material</t>
  </si>
  <si>
    <t>Actual</t>
  </si>
  <si>
    <t>Volume</t>
  </si>
  <si>
    <t>R.D.</t>
  </si>
  <si>
    <t>TOTAL</t>
  </si>
  <si>
    <t>Cementitious</t>
  </si>
  <si>
    <t>pcy</t>
  </si>
  <si>
    <t>Volume of paste</t>
  </si>
  <si>
    <t>Volume of aggs</t>
  </si>
  <si>
    <t>Volume of voids</t>
  </si>
  <si>
    <t>vp/vv</t>
  </si>
  <si>
    <t>% SCM 1</t>
  </si>
  <si>
    <t>% SCM 2</t>
  </si>
  <si>
    <t>Power 45  Optimize</t>
  </si>
  <si>
    <t>Intermediate</t>
  </si>
  <si>
    <t>Total</t>
  </si>
  <si>
    <t>Ideal</t>
  </si>
  <si>
    <t>Least difference</t>
  </si>
  <si>
    <t>Vol</t>
  </si>
  <si>
    <t>Int</t>
  </si>
  <si>
    <t xml:space="preserve">Cum </t>
  </si>
  <si>
    <t>Retained %</t>
  </si>
  <si>
    <t>mm</t>
  </si>
  <si>
    <t>^45</t>
  </si>
  <si>
    <t>Mixture</t>
  </si>
  <si>
    <t>Haystack Limits</t>
  </si>
  <si>
    <t>C33</t>
  </si>
  <si>
    <t>Pumping curve</t>
  </si>
  <si>
    <t>Illinois Tollway</t>
  </si>
  <si>
    <t>Tick marks</t>
  </si>
  <si>
    <t>Tarantula</t>
  </si>
  <si>
    <t>Tarantula fit</t>
  </si>
  <si>
    <t>Lower</t>
  </si>
  <si>
    <t>Upper</t>
  </si>
  <si>
    <t>High</t>
  </si>
  <si>
    <t>Low</t>
  </si>
  <si>
    <t>Middle</t>
  </si>
  <si>
    <t>Error</t>
  </si>
  <si>
    <t>3"</t>
  </si>
  <si>
    <t>1-1/2"</t>
  </si>
  <si>
    <t>Shilstone zones</t>
  </si>
  <si>
    <t>line 1</t>
  </si>
  <si>
    <t>line 2</t>
  </si>
  <si>
    <t>line 3</t>
  </si>
  <si>
    <t>line 4</t>
  </si>
  <si>
    <t>^45 lines</t>
  </si>
  <si>
    <t>Max size</t>
  </si>
  <si>
    <t>Max agg size</t>
  </si>
  <si>
    <t>Mix Type:</t>
  </si>
  <si>
    <t>Maximum Nominal Aggregate Size:</t>
  </si>
  <si>
    <t>Unit Weight By :</t>
  </si>
  <si>
    <t>Rodding</t>
  </si>
  <si>
    <t>Moisture Condition at Time of Test:</t>
  </si>
  <si>
    <t>Oven Dry</t>
  </si>
  <si>
    <t>Wt. of Sample and Container, lbs (A)</t>
  </si>
  <si>
    <t>Weight of Sample, lbs (A-B)</t>
  </si>
  <si>
    <t>Container Volume, cf (C)</t>
  </si>
  <si>
    <t>Avg.</t>
  </si>
  <si>
    <t>Dry Rodded Unit Weight, pcf (D)</t>
  </si>
  <si>
    <t>Avg. Agg. Bulk Specific Gravity (E)</t>
  </si>
  <si>
    <t>Void Content (%)</t>
  </si>
  <si>
    <t>Dry Rodded Unit Weight (D) =</t>
  </si>
  <si>
    <t>A-B</t>
  </si>
  <si>
    <t>(nearest 0.1 pcf)</t>
  </si>
  <si>
    <t>C</t>
  </si>
  <si>
    <t>Avg. Aggregate Specific Gravity (E)=</t>
  </si>
  <si>
    <r>
      <t>P</t>
    </r>
    <r>
      <rPr>
        <vertAlign val="subscript"/>
        <sz val="12"/>
        <rFont val="Times New Roman"/>
        <family val="1"/>
      </rPr>
      <t>1</t>
    </r>
  </si>
  <si>
    <t>=</t>
  </si>
  <si>
    <t>+</t>
  </si>
  <si>
    <r>
      <t>P</t>
    </r>
    <r>
      <rPr>
        <vertAlign val="subscript"/>
        <sz val="12"/>
        <rFont val="Times New Roman"/>
        <family val="1"/>
      </rPr>
      <t>2</t>
    </r>
  </si>
  <si>
    <r>
      <t>P</t>
    </r>
    <r>
      <rPr>
        <i/>
        <vertAlign val="subscript"/>
        <sz val="12"/>
        <rFont val="Times New Roman"/>
        <family val="1"/>
      </rPr>
      <t>n</t>
    </r>
  </si>
  <si>
    <t>(ASTM: C128/ AASHTO T85)</t>
  </si>
  <si>
    <r>
      <t>100G</t>
    </r>
    <r>
      <rPr>
        <vertAlign val="subscript"/>
        <sz val="12"/>
        <rFont val="Times New Roman"/>
        <family val="1"/>
      </rPr>
      <t>1</t>
    </r>
  </si>
  <si>
    <r>
      <t>100G</t>
    </r>
    <r>
      <rPr>
        <vertAlign val="subscript"/>
        <sz val="12"/>
        <rFont val="Times New Roman"/>
        <family val="1"/>
      </rPr>
      <t>2</t>
    </r>
  </si>
  <si>
    <r>
      <t>100G</t>
    </r>
    <r>
      <rPr>
        <i/>
        <vertAlign val="subscript"/>
        <sz val="12"/>
        <rFont val="Times New Roman"/>
        <family val="1"/>
      </rPr>
      <t>n</t>
    </r>
  </si>
  <si>
    <r>
      <t>P</t>
    </r>
    <r>
      <rPr>
        <vertAlign val="subscript"/>
        <sz val="12"/>
        <rFont val="Times New Roman"/>
        <family val="1"/>
      </rPr>
      <t>3</t>
    </r>
  </si>
  <si>
    <t>Where:</t>
  </si>
  <si>
    <r>
      <t>G</t>
    </r>
    <r>
      <rPr>
        <vertAlign val="subscript"/>
        <sz val="12"/>
        <rFont val="Times New Roman"/>
        <family val="1"/>
      </rPr>
      <t>1</t>
    </r>
  </si>
  <si>
    <r>
      <t>P</t>
    </r>
    <r>
      <rPr>
        <vertAlign val="subscript"/>
        <sz val="12"/>
        <rFont val="Times New Roman"/>
        <family val="1"/>
      </rPr>
      <t>1</t>
    </r>
    <r>
      <rPr>
        <sz val="12"/>
        <rFont val="Times New Roman"/>
        <family val="1"/>
      </rPr>
      <t>, P</t>
    </r>
    <r>
      <rPr>
        <vertAlign val="subscript"/>
        <sz val="12"/>
        <rFont val="Times New Roman"/>
        <family val="1"/>
      </rPr>
      <t>2</t>
    </r>
    <r>
      <rPr>
        <sz val="12"/>
        <rFont val="Times New Roman"/>
        <family val="1"/>
      </rPr>
      <t>, . . .P</t>
    </r>
    <r>
      <rPr>
        <i/>
        <vertAlign val="subscript"/>
        <sz val="12"/>
        <rFont val="Times New Roman"/>
        <family val="1"/>
      </rPr>
      <t>n</t>
    </r>
    <r>
      <rPr>
        <sz val="12"/>
        <rFont val="Times New Roman"/>
        <family val="1"/>
      </rPr>
      <t xml:space="preserve"> =</t>
    </r>
  </si>
  <si>
    <t>percentage of each aggregate in the mix</t>
  </si>
  <si>
    <r>
      <t>G</t>
    </r>
    <r>
      <rPr>
        <vertAlign val="subscript"/>
        <sz val="12"/>
        <rFont val="Times New Roman"/>
        <family val="1"/>
      </rPr>
      <t>2</t>
    </r>
  </si>
  <si>
    <r>
      <t>G</t>
    </r>
    <r>
      <rPr>
        <vertAlign val="subscript"/>
        <sz val="12"/>
        <rFont val="Times New Roman"/>
        <family val="1"/>
      </rPr>
      <t>1</t>
    </r>
    <r>
      <rPr>
        <sz val="12"/>
        <rFont val="Times New Roman"/>
        <family val="1"/>
      </rPr>
      <t>, G</t>
    </r>
    <r>
      <rPr>
        <vertAlign val="subscript"/>
        <sz val="12"/>
        <rFont val="Times New Roman"/>
        <family val="1"/>
      </rPr>
      <t>2</t>
    </r>
    <r>
      <rPr>
        <sz val="12"/>
        <rFont val="Times New Roman"/>
        <family val="1"/>
      </rPr>
      <t>, . . .G</t>
    </r>
    <r>
      <rPr>
        <i/>
        <vertAlign val="subscript"/>
        <sz val="12"/>
        <rFont val="Times New Roman"/>
        <family val="1"/>
      </rPr>
      <t>n</t>
    </r>
    <r>
      <rPr>
        <sz val="12"/>
        <rFont val="Times New Roman"/>
        <family val="1"/>
      </rPr>
      <t xml:space="preserve"> =</t>
    </r>
  </si>
  <si>
    <t>appropriate Bulk SG of each aggregate in the mix</t>
  </si>
  <si>
    <r>
      <t>G</t>
    </r>
    <r>
      <rPr>
        <vertAlign val="subscript"/>
        <sz val="12"/>
        <rFont val="Times New Roman"/>
        <family val="1"/>
      </rPr>
      <t>3</t>
    </r>
  </si>
  <si>
    <t>Avg. Aggregate Specific Gravity (E) =</t>
  </si>
  <si>
    <t>Void Content =</t>
  </si>
  <si>
    <t>100 [(E x 62.3) - D]</t>
  </si>
  <si>
    <t>(nearest 1%)</t>
  </si>
  <si>
    <t>E x 62.3</t>
  </si>
  <si>
    <t>WS5014</t>
  </si>
  <si>
    <t>Concrete Mix Information</t>
  </si>
  <si>
    <t>Mix ID</t>
  </si>
  <si>
    <t>Mix Grade</t>
  </si>
  <si>
    <t>MRS Mix # (132 Prefix)</t>
  </si>
  <si>
    <t>Design Date</t>
  </si>
  <si>
    <t>Mix to be used on following bid items:</t>
  </si>
  <si>
    <t>Concrete Plant Contact Name</t>
  </si>
  <si>
    <t>Area Code - Telephone #</t>
  </si>
  <si>
    <t>Plant Location (Address)</t>
  </si>
  <si>
    <t>City</t>
  </si>
  <si>
    <t>State</t>
  </si>
  <si>
    <t>Zip Code</t>
  </si>
  <si>
    <t>Contractor Certification</t>
  </si>
  <si>
    <t>Prime Contractor - Project Manager/Superintendent Name (Print)</t>
  </si>
  <si>
    <t>Signature</t>
  </si>
  <si>
    <t>Prime Contractor Company</t>
  </si>
  <si>
    <t>Address</t>
  </si>
  <si>
    <t xml:space="preserve">The mix design and materials used in the design are reparesentative of the concrete mix that will be used for this project. </t>
  </si>
  <si>
    <t>Concrete Paving Superintendent Name (Print)</t>
  </si>
  <si>
    <t>Paving Contractor Company</t>
  </si>
  <si>
    <t>Mix Design Certification</t>
  </si>
  <si>
    <t xml:space="preserve">The mix design and the materials used in the design are representative of the concrete mix that will be used for this project.  The aggregates used for the mix design came from the same source that will be used for the concrete for the project. </t>
  </si>
  <si>
    <t>Mix Designer Name (Print)</t>
  </si>
  <si>
    <t>HTCP #</t>
  </si>
  <si>
    <t>Company Name</t>
  </si>
  <si>
    <t>Project Staff Review</t>
  </si>
  <si>
    <t xml:space="preserve">I have had the opportunity to review this concrete mix design; to check that itmeets the concrete mix requirements.  I've had the opportunity to convey my comments and concrerns to the contractor's concrete pavement representatives. </t>
  </si>
  <si>
    <t>Project Leader Name (Print)</t>
  </si>
  <si>
    <t>Workability Factor</t>
  </si>
  <si>
    <t>Adjustments</t>
  </si>
  <si>
    <t>Adjusted Workability Factor</t>
  </si>
  <si>
    <t>Shilstone Chart Data</t>
  </si>
  <si>
    <t>Don’t touch anything else - Please!</t>
  </si>
  <si>
    <t>Enter Date, Project and Project I.D., etc. at the top</t>
  </si>
  <si>
    <t xml:space="preserve">Note:  If you are using more than 3 sources, unhide columns H-J to see two more intermediate source options.  </t>
  </si>
  <si>
    <t>Enter water cementitious ratio (w/cm)</t>
  </si>
  <si>
    <t>Coarseness Factor</t>
  </si>
  <si>
    <t>Wt. Of Unit Weight Container, lbs (B)</t>
  </si>
  <si>
    <t>NOTE:  Must use all 3 to get the correct average and for this spreadsheet to work</t>
  </si>
  <si>
    <t>Dosage (oz/cwt)</t>
  </si>
  <si>
    <t>Voids in Agg</t>
  </si>
  <si>
    <t>Absorp (%)</t>
  </si>
  <si>
    <t>Coarse A</t>
  </si>
  <si>
    <t>Coarse B</t>
  </si>
  <si>
    <t>Unique ID #</t>
  </si>
  <si>
    <t>Weight (lbs)</t>
  </si>
  <si>
    <t>---</t>
  </si>
  <si>
    <r>
      <t xml:space="preserve">= </t>
    </r>
    <r>
      <rPr>
        <sz val="12"/>
        <rFont val="Times New Roman"/>
        <family val="1"/>
      </rPr>
      <t>from Voids WS</t>
    </r>
  </si>
  <si>
    <t>% Retained Volumetric</t>
  </si>
  <si>
    <t>WisDOT Version</t>
  </si>
  <si>
    <t>&gt;125</t>
  </si>
  <si>
    <t>GENERAL INSTRUCTIONS ON ENTERING DATA</t>
  </si>
  <si>
    <t>NOTES</t>
  </si>
  <si>
    <t>Inputs ONLY go in cells that are GREY</t>
  </si>
  <si>
    <t>SHEETS</t>
  </si>
  <si>
    <t>Enter the aggregate information listed:  ID, Desc, Quality #, SG, Absorption, etc.</t>
  </si>
  <si>
    <t>Note:  Follow general instructions above to install Solver</t>
  </si>
  <si>
    <t>Use 0 for Other if there are none</t>
  </si>
  <si>
    <t xml:space="preserve">Solve for your mix.  </t>
  </si>
  <si>
    <t>Data</t>
  </si>
  <si>
    <t>®</t>
  </si>
  <si>
    <t>Ok</t>
  </si>
  <si>
    <r>
      <rPr>
        <sz val="11"/>
        <color rgb="FFFF0000"/>
        <rFont val="Calibri"/>
        <family val="2"/>
        <scheme val="minor"/>
      </rPr>
      <t>An ERROR</t>
    </r>
    <r>
      <rPr>
        <sz val="11"/>
        <color theme="1"/>
        <rFont val="Calibri"/>
        <family val="2"/>
        <scheme val="minor"/>
      </rPr>
      <t xml:space="preserve"> indicates you can't get a great solution with the materials you have</t>
    </r>
  </si>
  <si>
    <t>2 Paste Quality</t>
  </si>
  <si>
    <t>Enter info listed in Cementitious material: Manufacturer, Source, Type/Class/Grade, and SG.</t>
  </si>
  <si>
    <t>Enter the percentages of Fly Ash and Slag</t>
  </si>
  <si>
    <t>Enter Water Source</t>
  </si>
  <si>
    <t>Enter Admixture information</t>
  </si>
  <si>
    <t>Enter in desired cementitious value</t>
  </si>
  <si>
    <t>Use this sheet to determine voids in aggregate</t>
  </si>
  <si>
    <t>4 Agg Analysis</t>
  </si>
  <si>
    <t>Data_Charts</t>
  </si>
  <si>
    <t>1 Aggregate System **WARNING**  Computation Cells not locked for SOLVER to work - Input Data Only</t>
  </si>
  <si>
    <t>3 Mix Design **WARNING**  Computation Cells not locked for SOLVER to work - Input Data Only</t>
  </si>
  <si>
    <t>If you get an ERROR, you may need to change the Percent Mass values</t>
  </si>
  <si>
    <t>Enter the measured aggregate void results using ASTM C 29</t>
  </si>
  <si>
    <t>Check paste to void ratio</t>
  </si>
  <si>
    <t>If the spreadsheet calculates less than 125% paste to void ratio, changes to your aggregate or cementitious properties need to be evaluated.</t>
  </si>
  <si>
    <t xml:space="preserve">Unit Wt_Voids in Agg </t>
  </si>
  <si>
    <t xml:space="preserve">Calculating unit weight voids in aggregate is a required input for sheet 2.  Th Unit Wt_Voids in Agg sheet is provided for your convenience and ease of calculating. </t>
  </si>
  <si>
    <t>Various visual data representations of the blended aggregates</t>
  </si>
  <si>
    <t>WS5014 is required to be submitted for all WisDOT Class I Mix Designs.</t>
  </si>
  <si>
    <t xml:space="preserve">This form can be filled out and submitted to WisDOT for your project. </t>
  </si>
  <si>
    <t>Run the solver on this page - Set your objective yield (default to 27.2 CF)</t>
  </si>
  <si>
    <t>Observe the plots - See if it passes Tarantula Curve.  Make sure all values pass.</t>
  </si>
  <si>
    <t>Other A - If Used</t>
  </si>
  <si>
    <t>Other B - If Used</t>
  </si>
  <si>
    <t>Fineness Modulus</t>
  </si>
  <si>
    <t>Enter a target input quantity for mass of aggregates (ie. 3500 pcy)</t>
  </si>
  <si>
    <t>SAM #</t>
  </si>
  <si>
    <t>during trial batching</t>
  </si>
  <si>
    <t>Box Test Eval.</t>
  </si>
  <si>
    <t xml:space="preserve">WisDOT Version 4.0 </t>
  </si>
  <si>
    <t>AGGREGATE CORRECTION FACTOR</t>
  </si>
  <si>
    <t>Source Name</t>
  </si>
  <si>
    <t>Test Number</t>
  </si>
  <si>
    <t>Total Agg Weight</t>
  </si>
  <si>
    <r>
      <t xml:space="preserve">UNIT WEIGHT/VOIDS IN AGGREGATE - </t>
    </r>
    <r>
      <rPr>
        <sz val="10"/>
        <rFont val="Times New Roman"/>
        <family val="1"/>
      </rPr>
      <t>AASHTO T19/ ASTM: C29</t>
    </r>
  </si>
  <si>
    <t>Rating # (if using)</t>
  </si>
  <si>
    <t/>
  </si>
  <si>
    <t>≤5.0</t>
  </si>
  <si>
    <t>Target Air %</t>
  </si>
  <si>
    <t>Target w/cm</t>
  </si>
  <si>
    <t>CONCRETE MIXTURE DESIGN - OPTIMIZED AGGREGATE GRADATION</t>
  </si>
  <si>
    <t>Source ID #</t>
  </si>
  <si>
    <t>Test #</t>
  </si>
  <si>
    <t>3.2.2022</t>
  </si>
  <si>
    <t>CONCRETE MIXTURE DESIGN - OPTIMIZED PCC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</si>
</sst>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0;[Red]0.00"/>
    <numFmt numFmtId="166" formatCode="0;[Red]0"/>
    <numFmt numFmtId="167" formatCode="0.0;[Red]0.0"/>
    <numFmt numFmtId="168" formatCode="0.000"/>
    <numFmt numFmtId="169" formatCode="[$-409]d\-mmm\-yy;@"/>
    <numFmt numFmtId="170" formatCode="0.00000"/>
    <numFmt numFmtId="171" formatCode="0.0000"/>
    <numFmt numFmtId="172" formatCode="mm/dd/yy;@"/>
  </numFmts>
  <fonts count="41" x14ac:knownFonts="1">
    <font>
      <sz val="11"/>
      <color theme="1"/>
      <name val="Calibri"/>
      <family val="2"/>
      <scheme val="minor"/>
    </font>
    <font>
      <sz val="10"/>
      <name val="Arial"/>
      <family val="2"/>
    </font>
    <font>
      <b/>
      <sz val="12"/>
      <color indexed="12"/>
      <name val="Times New Roman"/>
      <family val="1"/>
    </font>
    <font>
      <sz val="12"/>
      <name val="Times New Roman"/>
      <family val="1"/>
    </font>
    <font>
      <b/>
      <sz val="10"/>
      <name val="Arial"/>
      <family val="2"/>
    </font>
    <font>
      <sz val="12"/>
      <color indexed="10"/>
      <name val="Times New Roman"/>
      <family val="1"/>
    </font>
    <font>
      <b/>
      <sz val="10"/>
      <color rgb="FFFF0000"/>
      <name val="Arial"/>
      <family val="2"/>
    </font>
    <font>
      <b/>
      <sz val="12"/>
      <name val="Times New Roman"/>
      <family val="1"/>
    </font>
    <font>
      <sz val="10"/>
      <name val="Times New Roman"/>
      <family val="1"/>
    </font>
    <font>
      <sz val="12"/>
      <color rgb="FF0070C0"/>
      <name val="Times New Roman"/>
      <family val="1"/>
    </font>
    <font>
      <b/>
      <sz val="12"/>
      <color indexed="48"/>
      <name val="Times New Roman"/>
      <family val="1"/>
    </font>
    <font>
      <sz val="11"/>
      <name val="Times New Roman"/>
      <family val="1"/>
    </font>
    <font>
      <sz val="12"/>
      <color theme="0"/>
      <name val="Times New Roman"/>
      <family val="1"/>
    </font>
    <font>
      <sz val="12"/>
      <color rgb="FFFF0000"/>
      <name val="Times New Roman"/>
      <family val="1"/>
    </font>
    <font>
      <b/>
      <u/>
      <sz val="12"/>
      <name val="Times New Roman"/>
      <family val="1"/>
    </font>
    <font>
      <b/>
      <sz val="14"/>
      <name val="Times New Roman"/>
      <family val="1"/>
    </font>
    <font>
      <b/>
      <u/>
      <sz val="14"/>
      <name val="Times New Roman"/>
      <family val="1"/>
    </font>
    <font>
      <sz val="9"/>
      <name val="Times New Roman"/>
      <family val="1"/>
    </font>
    <font>
      <b/>
      <sz val="12"/>
      <color rgb="FFFF0000"/>
      <name val="Times New Roman"/>
      <family val="1"/>
    </font>
    <font>
      <i/>
      <sz val="12"/>
      <name val="Times New Roman"/>
      <family val="1"/>
    </font>
    <font>
      <vertAlign val="subscript"/>
      <sz val="12"/>
      <name val="Times New Roman"/>
      <family val="1"/>
    </font>
    <font>
      <i/>
      <vertAlign val="subscript"/>
      <sz val="12"/>
      <name val="Times New Roman"/>
      <family val="1"/>
    </font>
    <font>
      <sz val="8"/>
      <color rgb="FF000000"/>
      <name val="Segoe UI"/>
      <family val="2"/>
    </font>
    <font>
      <sz val="7"/>
      <name val="Times New Roman"/>
      <family val="1"/>
    </font>
    <font>
      <b/>
      <sz val="12"/>
      <color theme="0"/>
      <name val="Times New Roman"/>
      <family val="1"/>
    </font>
    <font>
      <u/>
      <sz val="12"/>
      <name val="Times New Roman"/>
      <family val="1"/>
    </font>
    <font>
      <sz val="12"/>
      <color theme="1"/>
      <name val="Times New Roman"/>
      <family val="1"/>
    </font>
    <font>
      <b/>
      <sz val="11"/>
      <name val="Times New Roman"/>
      <family val="1"/>
    </font>
    <font>
      <b/>
      <sz val="10"/>
      <name val="Times New Roman"/>
      <family val="1"/>
    </font>
    <font>
      <sz val="12"/>
      <color theme="1"/>
      <name val="Calibri"/>
      <family val="2"/>
      <scheme val="minor"/>
    </font>
    <font>
      <b/>
      <sz val="12"/>
      <color rgb="FFFF0000"/>
      <name val="Arial"/>
      <family val="2"/>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i/>
      <sz val="11"/>
      <color theme="1"/>
      <name val="Calibri"/>
      <family val="2"/>
      <scheme val="minor"/>
    </font>
    <font>
      <sz val="11"/>
      <color theme="1"/>
      <name val="Symbol"/>
      <family val="1"/>
      <charset val="2"/>
    </font>
    <font>
      <b/>
      <i/>
      <sz val="11"/>
      <name val="Calibri"/>
      <family val="2"/>
      <scheme val="minor"/>
    </font>
    <font>
      <i/>
      <sz val="11"/>
      <name val="Calibri"/>
      <family val="2"/>
      <scheme val="minor"/>
    </font>
    <font>
      <sz val="12"/>
      <name val="Lucida Handwriting"/>
      <family val="4"/>
    </font>
  </fonts>
  <fills count="10">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DDDDDD"/>
        <bgColor indexed="64"/>
      </patternFill>
    </fill>
    <fill>
      <patternFill patternType="solid">
        <fgColor theme="9" tint="0.399975585192419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xf numFmtId="0" fontId="1" fillId="0" borderId="0"/>
    <xf numFmtId="0" fontId="17" fillId="0" borderId="0"/>
  </cellStyleXfs>
  <cellXfs count="927">
    <xf numFmtId="0" fontId="0" fillId="0" borderId="0" xfId="0"/>
    <xf numFmtId="0" fontId="3" fillId="0" borderId="0" xfId="0" applyFont="1"/>
    <xf numFmtId="0" fontId="0" fillId="0" borderId="0" xfId="0" applyAlignment="1">
      <alignment vertical="center"/>
    </xf>
    <xf numFmtId="0" fontId="3" fillId="0" borderId="11" xfId="0" applyFont="1" applyBorder="1" applyProtection="1">
      <protection hidden="1"/>
    </xf>
    <xf numFmtId="0" fontId="3" fillId="0" borderId="0" xfId="0" applyFont="1" applyProtection="1">
      <protection hidden="1"/>
    </xf>
    <xf numFmtId="0" fontId="3" fillId="0" borderId="0" xfId="0" applyFont="1" applyBorder="1" applyProtection="1">
      <protection hidden="1"/>
    </xf>
    <xf numFmtId="0" fontId="6" fillId="0" borderId="0" xfId="0" applyFont="1" applyBorder="1" applyAlignment="1" applyProtection="1">
      <alignment vertical="center" wrapText="1"/>
      <protection hidden="1"/>
    </xf>
    <xf numFmtId="0" fontId="3" fillId="0" borderId="7" xfId="0" applyFont="1" applyBorder="1" applyProtection="1">
      <protection hidden="1"/>
    </xf>
    <xf numFmtId="0" fontId="3" fillId="0" borderId="24" xfId="0" applyFont="1" applyBorder="1" applyAlignment="1" applyProtection="1">
      <alignment horizontal="left"/>
      <protection hidden="1"/>
    </xf>
    <xf numFmtId="0" fontId="3" fillId="0" borderId="0" xfId="0" applyFont="1" applyBorder="1" applyAlignment="1" applyProtection="1">
      <alignment horizontal="left"/>
      <protection hidden="1"/>
    </xf>
    <xf numFmtId="0" fontId="5" fillId="0" borderId="0" xfId="0" applyFont="1" applyProtection="1">
      <protection hidden="1"/>
    </xf>
    <xf numFmtId="14" fontId="3" fillId="0" borderId="0" xfId="0" applyNumberFormat="1" applyFont="1" applyProtection="1">
      <protection hidden="1"/>
    </xf>
    <xf numFmtId="0" fontId="3" fillId="0" borderId="0" xfId="0" applyFont="1" applyAlignment="1" applyProtection="1">
      <alignment vertical="center" wrapText="1"/>
      <protection hidden="1"/>
    </xf>
    <xf numFmtId="0" fontId="3" fillId="0" borderId="33" xfId="0" applyFont="1" applyBorder="1" applyAlignment="1" applyProtection="1">
      <alignment horizontal="center" vertical="center"/>
      <protection hidden="1"/>
    </xf>
    <xf numFmtId="0" fontId="7" fillId="3" borderId="36" xfId="0" applyFont="1" applyFill="1" applyBorder="1" applyAlignment="1" applyProtection="1">
      <alignment horizontal="center"/>
      <protection locked="0"/>
    </xf>
    <xf numFmtId="0" fontId="3" fillId="0" borderId="36" xfId="0" applyFont="1" applyFill="1" applyBorder="1" applyAlignment="1" applyProtection="1">
      <alignment horizontal="center"/>
    </xf>
    <xf numFmtId="0" fontId="7" fillId="3" borderId="39" xfId="0" applyFont="1" applyFill="1" applyBorder="1" applyAlignment="1" applyProtection="1">
      <alignment horizontal="center"/>
      <protection locked="0"/>
    </xf>
    <xf numFmtId="0" fontId="3" fillId="0" borderId="39" xfId="0" applyFont="1" applyFill="1" applyBorder="1" applyAlignment="1" applyProtection="1">
      <alignment horizontal="center"/>
    </xf>
    <xf numFmtId="0" fontId="3" fillId="0" borderId="0" xfId="0" applyFont="1" applyFill="1" applyBorder="1" applyAlignment="1" applyProtection="1">
      <alignment horizontal="left"/>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protection hidden="1"/>
    </xf>
    <xf numFmtId="1" fontId="7" fillId="0" borderId="0" xfId="0" applyNumberFormat="1" applyFont="1" applyFill="1" applyBorder="1" applyAlignment="1" applyProtection="1">
      <alignment horizontal="center"/>
      <protection hidden="1"/>
    </xf>
    <xf numFmtId="0" fontId="3" fillId="0" borderId="0" xfId="0" applyFont="1" applyFill="1" applyBorder="1" applyProtection="1">
      <protection hidden="1"/>
    </xf>
    <xf numFmtId="0" fontId="3" fillId="0" borderId="0" xfId="0" applyFont="1" applyFill="1" applyProtection="1">
      <protection hidden="1"/>
    </xf>
    <xf numFmtId="2"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165" fontId="3" fillId="0" borderId="0" xfId="0" applyNumberFormat="1" applyFont="1" applyProtection="1">
      <protection hidden="1"/>
    </xf>
    <xf numFmtId="0" fontId="3" fillId="0" borderId="0" xfId="0" applyFont="1" applyAlignment="1" applyProtection="1">
      <alignment horizontal="left" vertical="top"/>
      <protection hidden="1"/>
    </xf>
    <xf numFmtId="166" fontId="5" fillId="0" borderId="0" xfId="0" applyNumberFormat="1" applyFont="1" applyAlignment="1" applyProtection="1">
      <alignment horizontal="center"/>
      <protection hidden="1"/>
    </xf>
    <xf numFmtId="0" fontId="10" fillId="0" borderId="0" xfId="0" applyFont="1" applyAlignment="1" applyProtection="1">
      <alignment horizontal="center"/>
      <protection hidden="1"/>
    </xf>
    <xf numFmtId="0" fontId="3" fillId="0" borderId="24" xfId="0" applyFont="1" applyBorder="1" applyProtection="1">
      <protection hidden="1"/>
    </xf>
    <xf numFmtId="0" fontId="3" fillId="0" borderId="0" xfId="0" applyFont="1" applyBorder="1" applyAlignment="1" applyProtection="1">
      <alignment horizontal="center"/>
      <protection hidden="1"/>
    </xf>
    <xf numFmtId="2" fontId="9" fillId="0" borderId="0" xfId="0" applyNumberFormat="1" applyFont="1" applyBorder="1" applyAlignment="1" applyProtection="1">
      <alignment horizontal="center"/>
      <protection hidden="1"/>
    </xf>
    <xf numFmtId="0" fontId="9" fillId="0" borderId="0" xfId="0" applyFont="1" applyBorder="1" applyAlignment="1" applyProtection="1">
      <alignment horizontal="center"/>
      <protection hidden="1"/>
    </xf>
    <xf numFmtId="166" fontId="5" fillId="0" borderId="0" xfId="0" applyNumberFormat="1" applyFont="1" applyBorder="1" applyAlignment="1" applyProtection="1">
      <alignment horizontal="center"/>
      <protection hidden="1"/>
    </xf>
    <xf numFmtId="0" fontId="3" fillId="0" borderId="20" xfId="0" applyFont="1" applyBorder="1" applyProtection="1">
      <protection hidden="1"/>
    </xf>
    <xf numFmtId="0" fontId="7" fillId="0" borderId="0" xfId="0" applyFont="1" applyProtection="1">
      <protection hidden="1"/>
    </xf>
    <xf numFmtId="1" fontId="7" fillId="0" borderId="0" xfId="0" applyNumberFormat="1" applyFont="1" applyProtection="1">
      <protection hidden="1"/>
    </xf>
    <xf numFmtId="0" fontId="11" fillId="0" borderId="31" xfId="0" applyFont="1" applyBorder="1" applyAlignment="1" applyProtection="1">
      <alignment vertical="center" wrapText="1"/>
      <protection hidden="1"/>
    </xf>
    <xf numFmtId="0" fontId="3" fillId="0" borderId="33" xfId="0" applyFont="1" applyBorder="1" applyAlignment="1" applyProtection="1">
      <alignment vertical="center" wrapText="1"/>
      <protection hidden="1"/>
    </xf>
    <xf numFmtId="0" fontId="3" fillId="0" borderId="0" xfId="0" applyFont="1" applyBorder="1" applyAlignment="1" applyProtection="1">
      <alignment vertical="center" wrapText="1"/>
      <protection hidden="1"/>
    </xf>
    <xf numFmtId="0" fontId="7" fillId="0" borderId="0" xfId="0" applyFont="1" applyAlignment="1" applyProtection="1">
      <alignment vertical="center" wrapText="1"/>
      <protection hidden="1"/>
    </xf>
    <xf numFmtId="1" fontId="3" fillId="0" borderId="33" xfId="0" quotePrefix="1" applyNumberFormat="1" applyFont="1" applyBorder="1" applyAlignment="1" applyProtection="1">
      <alignment horizontal="center" vertical="center" wrapText="1"/>
      <protection hidden="1"/>
    </xf>
    <xf numFmtId="1" fontId="3" fillId="0" borderId="33" xfId="0" applyNumberFormat="1" applyFont="1" applyBorder="1" applyAlignment="1" applyProtection="1">
      <alignment horizontal="center" vertical="center" wrapText="1"/>
      <protection hidden="1"/>
    </xf>
    <xf numFmtId="1" fontId="3" fillId="0" borderId="30" xfId="0" applyNumberFormat="1"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1" fontId="3" fillId="0" borderId="11" xfId="0" applyNumberFormat="1" applyFont="1" applyBorder="1" applyAlignment="1" applyProtection="1">
      <alignment horizontal="center" vertical="center" wrapText="1"/>
      <protection hidden="1"/>
    </xf>
    <xf numFmtId="1" fontId="3" fillId="0" borderId="41" xfId="0" applyNumberFormat="1" applyFont="1" applyBorder="1" applyAlignment="1" applyProtection="1">
      <alignment horizontal="center" vertical="center" wrapText="1"/>
      <protection hidden="1"/>
    </xf>
    <xf numFmtId="0" fontId="3" fillId="0" borderId="34" xfId="0" applyFont="1" applyBorder="1" applyAlignment="1" applyProtection="1">
      <alignment horizontal="center"/>
      <protection hidden="1"/>
    </xf>
    <xf numFmtId="0" fontId="3" fillId="0" borderId="37" xfId="0" applyFont="1" applyBorder="1" applyAlignment="1" applyProtection="1">
      <alignment horizontal="center"/>
      <protection hidden="1"/>
    </xf>
    <xf numFmtId="0" fontId="3" fillId="0" borderId="35" xfId="0" applyFont="1" applyBorder="1" applyAlignment="1" applyProtection="1">
      <alignment horizontal="center"/>
      <protection hidden="1"/>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42" xfId="0" applyFont="1" applyBorder="1" applyAlignment="1" applyProtection="1">
      <alignment vertical="center"/>
      <protection hidden="1"/>
    </xf>
    <xf numFmtId="0" fontId="3" fillId="0" borderId="30" xfId="0" applyFont="1" applyBorder="1" applyAlignment="1" applyProtection="1">
      <alignment vertical="center"/>
      <protection hidden="1"/>
    </xf>
    <xf numFmtId="0" fontId="3" fillId="0" borderId="43" xfId="0" applyFont="1" applyBorder="1" applyAlignment="1" applyProtection="1">
      <alignment vertical="center"/>
      <protection hidden="1"/>
    </xf>
    <xf numFmtId="164" fontId="7" fillId="3" borderId="44" xfId="0" applyNumberFormat="1" applyFont="1" applyFill="1" applyBorder="1" applyAlignment="1" applyProtection="1">
      <alignment horizontal="center" vertical="center"/>
      <protection hidden="1"/>
    </xf>
    <xf numFmtId="164" fontId="7" fillId="3" borderId="45" xfId="0" applyNumberFormat="1" applyFont="1" applyFill="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39" xfId="0" applyFont="1" applyBorder="1" applyAlignment="1" applyProtection="1">
      <alignment horizontal="center" vertical="center"/>
      <protection hidden="1"/>
    </xf>
    <xf numFmtId="0" fontId="3" fillId="0" borderId="36" xfId="0" applyFont="1" applyBorder="1" applyAlignment="1" applyProtection="1">
      <alignment horizontal="center" vertical="center"/>
      <protection hidden="1"/>
    </xf>
    <xf numFmtId="0" fontId="3" fillId="0" borderId="28" xfId="0" applyFont="1" applyBorder="1" applyAlignment="1" applyProtection="1">
      <alignment vertical="center"/>
      <protection hidden="1"/>
    </xf>
    <xf numFmtId="0" fontId="3" fillId="0" borderId="38" xfId="0" applyFont="1" applyBorder="1" applyAlignment="1" applyProtection="1">
      <alignment vertical="center"/>
      <protection hidden="1"/>
    </xf>
    <xf numFmtId="0" fontId="3" fillId="0" borderId="39" xfId="0" applyFont="1" applyBorder="1" applyAlignment="1" applyProtection="1">
      <alignment vertical="center"/>
      <protection hidden="1"/>
    </xf>
    <xf numFmtId="167" fontId="3" fillId="0" borderId="28" xfId="0" applyNumberFormat="1" applyFont="1" applyBorder="1" applyAlignment="1" applyProtection="1">
      <alignment horizontal="center" vertical="center"/>
      <protection hidden="1"/>
    </xf>
    <xf numFmtId="167" fontId="3" fillId="0" borderId="29" xfId="0" applyNumberFormat="1" applyFont="1" applyBorder="1" applyAlignment="1" applyProtection="1">
      <alignment horizontal="center" vertical="center"/>
      <protection hidden="1"/>
    </xf>
    <xf numFmtId="2" fontId="12" fillId="0" borderId="30" xfId="0" applyNumberFormat="1" applyFont="1" applyBorder="1" applyAlignment="1" applyProtection="1">
      <alignment vertical="center"/>
      <protection hidden="1"/>
    </xf>
    <xf numFmtId="2" fontId="12" fillId="0" borderId="33" xfId="0" applyNumberFormat="1" applyFont="1" applyBorder="1" applyAlignment="1" applyProtection="1">
      <alignment vertical="center"/>
      <protection hidden="1"/>
    </xf>
    <xf numFmtId="0" fontId="3" fillId="0" borderId="34"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0" borderId="34" xfId="0" quotePrefix="1" applyFont="1" applyBorder="1" applyAlignment="1" applyProtection="1">
      <alignment horizontal="center" vertical="center"/>
      <protection hidden="1"/>
    </xf>
    <xf numFmtId="0" fontId="3" fillId="0" borderId="33" xfId="0" quotePrefix="1" applyFont="1" applyBorder="1" applyAlignment="1" applyProtection="1">
      <alignment horizontal="center" vertical="center"/>
      <protection hidden="1"/>
    </xf>
    <xf numFmtId="0" fontId="3" fillId="0" borderId="20" xfId="0" quotePrefix="1" applyFont="1" applyBorder="1" applyAlignment="1" applyProtection="1">
      <alignment horizontal="center" vertical="center"/>
      <protection hidden="1"/>
    </xf>
    <xf numFmtId="49" fontId="3" fillId="0" borderId="34" xfId="0" applyNumberFormat="1" applyFont="1" applyFill="1" applyBorder="1" applyAlignment="1" applyProtection="1">
      <alignment horizontal="center"/>
      <protection hidden="1"/>
    </xf>
    <xf numFmtId="167" fontId="3" fillId="0" borderId="42" xfId="0" applyNumberFormat="1" applyFont="1" applyFill="1" applyBorder="1" applyAlignment="1" applyProtection="1">
      <alignment horizontal="center"/>
    </xf>
    <xf numFmtId="164" fontId="7" fillId="3" borderId="37" xfId="0" applyNumberFormat="1" applyFont="1" applyFill="1" applyBorder="1" applyAlignment="1" applyProtection="1">
      <alignment horizontal="center"/>
    </xf>
    <xf numFmtId="167" fontId="3" fillId="0" borderId="37" xfId="0" applyNumberFormat="1" applyFont="1" applyFill="1" applyBorder="1" applyAlignment="1" applyProtection="1">
      <alignment horizontal="center"/>
    </xf>
    <xf numFmtId="49" fontId="3" fillId="0" borderId="24" xfId="0" applyNumberFormat="1" applyFont="1" applyFill="1" applyBorder="1" applyAlignment="1" applyProtection="1">
      <alignment horizontal="center"/>
      <protection hidden="1"/>
    </xf>
    <xf numFmtId="167" fontId="3" fillId="0" borderId="0" xfId="0" applyNumberFormat="1" applyFont="1" applyFill="1" applyBorder="1" applyAlignment="1" applyProtection="1">
      <alignment horizontal="center"/>
    </xf>
    <xf numFmtId="164" fontId="7" fillId="3" borderId="36" xfId="0" applyNumberFormat="1" applyFont="1" applyFill="1" applyBorder="1" applyAlignment="1" applyProtection="1">
      <alignment horizontal="center"/>
    </xf>
    <xf numFmtId="167" fontId="3" fillId="0" borderId="36" xfId="0" applyNumberFormat="1" applyFont="1" applyFill="1" applyBorder="1" applyAlignment="1" applyProtection="1">
      <alignment horizontal="center"/>
    </xf>
    <xf numFmtId="0" fontId="5" fillId="0" borderId="0" xfId="0" applyFont="1" applyFill="1" applyProtection="1">
      <protection hidden="1"/>
    </xf>
    <xf numFmtId="49" fontId="3" fillId="0" borderId="38" xfId="0" applyNumberFormat="1" applyFont="1" applyFill="1" applyBorder="1" applyAlignment="1" applyProtection="1">
      <alignment horizontal="center"/>
      <protection hidden="1"/>
    </xf>
    <xf numFmtId="167" fontId="3" fillId="0" borderId="28" xfId="0" applyNumberFormat="1" applyFont="1" applyFill="1" applyBorder="1" applyAlignment="1" applyProtection="1">
      <alignment horizontal="center"/>
    </xf>
    <xf numFmtId="164" fontId="7" fillId="3" borderId="39" xfId="0" applyNumberFormat="1" applyFont="1" applyFill="1" applyBorder="1" applyAlignment="1" applyProtection="1">
      <alignment horizontal="center"/>
    </xf>
    <xf numFmtId="167" fontId="3" fillId="0" borderId="39" xfId="0" applyNumberFormat="1" applyFont="1" applyFill="1" applyBorder="1" applyAlignment="1" applyProtection="1">
      <alignment horizontal="center"/>
    </xf>
    <xf numFmtId="49" fontId="3" fillId="0" borderId="0" xfId="0" applyNumberFormat="1" applyFont="1" applyProtection="1">
      <protection hidden="1"/>
    </xf>
    <xf numFmtId="0" fontId="3" fillId="0" borderId="0" xfId="0" applyFont="1" applyAlignment="1" applyProtection="1">
      <alignment horizontal="center"/>
      <protection hidden="1"/>
    </xf>
    <xf numFmtId="167" fontId="13" fillId="0" borderId="0" xfId="0" applyNumberFormat="1" applyFont="1" applyProtection="1">
      <protection hidden="1"/>
    </xf>
    <xf numFmtId="0" fontId="7" fillId="0" borderId="0" xfId="0" applyFont="1" applyAlignment="1" applyProtection="1">
      <alignment horizontal="center"/>
      <protection hidden="1"/>
    </xf>
    <xf numFmtId="164" fontId="10" fillId="0" borderId="0" xfId="0" applyNumberFormat="1" applyFont="1" applyAlignment="1" applyProtection="1">
      <alignment horizontal="center"/>
      <protection hidden="1"/>
    </xf>
    <xf numFmtId="167" fontId="7" fillId="0" borderId="0" xfId="0" applyNumberFormat="1" applyFont="1" applyProtection="1">
      <protection hidden="1"/>
    </xf>
    <xf numFmtId="0" fontId="3" fillId="0" borderId="39" xfId="0" applyFont="1" applyFill="1" applyBorder="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3" fillId="0" borderId="33" xfId="0" applyFont="1" applyFill="1" applyBorder="1" applyAlignment="1" applyProtection="1">
      <alignment horizontal="center" vertical="center"/>
      <protection hidden="1"/>
    </xf>
    <xf numFmtId="0" fontId="3" fillId="0" borderId="0" xfId="0" applyFont="1" applyFill="1" applyAlignment="1" applyProtection="1">
      <alignment vertical="center"/>
      <protection hidden="1"/>
    </xf>
    <xf numFmtId="0" fontId="3" fillId="0" borderId="24" xfId="0" applyFont="1" applyBorder="1" applyAlignment="1" applyProtection="1">
      <alignment vertical="center"/>
      <protection hidden="1"/>
    </xf>
    <xf numFmtId="0" fontId="5"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167" fontId="3" fillId="0" borderId="0" xfId="0" applyNumberFormat="1" applyFont="1" applyBorder="1" applyAlignment="1" applyProtection="1">
      <alignment horizontal="center" vertical="center"/>
      <protection hidden="1"/>
    </xf>
    <xf numFmtId="0" fontId="7" fillId="0" borderId="0" xfId="0" applyFont="1" applyFill="1" applyBorder="1" applyAlignment="1" applyProtection="1">
      <alignment vertical="center"/>
    </xf>
    <xf numFmtId="0" fontId="3" fillId="0" borderId="0" xfId="0" applyFont="1" applyBorder="1" applyAlignment="1" applyProtection="1">
      <alignment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49" fontId="3" fillId="0" borderId="10" xfId="0" applyNumberFormat="1" applyFont="1" applyFill="1" applyBorder="1" applyAlignment="1" applyProtection="1">
      <alignment horizontal="center"/>
    </xf>
    <xf numFmtId="1" fontId="3" fillId="0" borderId="40" xfId="0" applyNumberFormat="1" applyFont="1" applyBorder="1" applyAlignment="1" applyProtection="1">
      <alignment horizontal="center"/>
    </xf>
    <xf numFmtId="0" fontId="3" fillId="0" borderId="49" xfId="0" applyFont="1" applyBorder="1" applyAlignment="1" applyProtection="1">
      <alignment horizontal="center"/>
    </xf>
    <xf numFmtId="0" fontId="3" fillId="0" borderId="12" xfId="0" applyFont="1" applyBorder="1" applyAlignment="1" applyProtection="1">
      <alignment horizontal="center"/>
    </xf>
    <xf numFmtId="167" fontId="3" fillId="0" borderId="50" xfId="0" applyNumberFormat="1" applyFont="1" applyBorder="1" applyAlignment="1" applyProtection="1">
      <alignment horizontal="center"/>
    </xf>
    <xf numFmtId="49" fontId="3" fillId="0" borderId="14" xfId="0" applyNumberFormat="1" applyFont="1" applyFill="1" applyBorder="1" applyAlignment="1" applyProtection="1">
      <alignment horizontal="center"/>
    </xf>
    <xf numFmtId="2" fontId="3" fillId="0" borderId="51" xfId="0" applyNumberFormat="1" applyFont="1" applyBorder="1" applyAlignment="1" applyProtection="1">
      <alignment horizontal="center"/>
    </xf>
    <xf numFmtId="0" fontId="3" fillId="0" borderId="52" xfId="0" applyFont="1" applyBorder="1" applyAlignment="1" applyProtection="1">
      <alignment horizontal="center"/>
    </xf>
    <xf numFmtId="0" fontId="3" fillId="0" borderId="53" xfId="0" applyFont="1" applyBorder="1" applyAlignment="1" applyProtection="1">
      <alignment horizontal="center"/>
    </xf>
    <xf numFmtId="167" fontId="3" fillId="0" borderId="54" xfId="0" applyNumberFormat="1" applyFont="1" applyBorder="1" applyAlignment="1" applyProtection="1">
      <alignment horizontal="center"/>
    </xf>
    <xf numFmtId="2" fontId="3" fillId="0" borderId="0" xfId="0" applyNumberFormat="1" applyFont="1" applyAlignment="1" applyProtection="1">
      <alignment horizontal="center"/>
      <protection hidden="1"/>
    </xf>
    <xf numFmtId="49" fontId="3" fillId="0" borderId="55" xfId="0" applyNumberFormat="1" applyFont="1" applyFill="1" applyBorder="1" applyAlignment="1" applyProtection="1">
      <alignment horizontal="center"/>
    </xf>
    <xf numFmtId="2" fontId="3" fillId="0" borderId="43" xfId="0" applyNumberFormat="1" applyFont="1" applyBorder="1" applyAlignment="1" applyProtection="1">
      <alignment horizontal="center"/>
    </xf>
    <xf numFmtId="0" fontId="3" fillId="0" borderId="56" xfId="0" applyFont="1" applyBorder="1" applyAlignment="1" applyProtection="1">
      <alignment horizontal="center"/>
    </xf>
    <xf numFmtId="0" fontId="3" fillId="0" borderId="57" xfId="0" applyFont="1" applyBorder="1" applyAlignment="1" applyProtection="1">
      <alignment horizontal="center"/>
    </xf>
    <xf numFmtId="167" fontId="3" fillId="0" borderId="58" xfId="0" applyNumberFormat="1" applyFont="1" applyBorder="1" applyAlignment="1" applyProtection="1">
      <alignment horizontal="center"/>
    </xf>
    <xf numFmtId="167" fontId="3" fillId="0" borderId="0" xfId="0" applyNumberFormat="1" applyFont="1" applyProtection="1">
      <protection hidden="1"/>
    </xf>
    <xf numFmtId="168" fontId="0" fillId="0" borderId="0" xfId="0" applyNumberFormat="1" applyProtection="1">
      <protection hidden="1"/>
    </xf>
    <xf numFmtId="49" fontId="0" fillId="0" borderId="0" xfId="0" applyNumberFormat="1" applyProtection="1">
      <protection hidden="1"/>
    </xf>
    <xf numFmtId="0" fontId="0" fillId="0" borderId="0" xfId="0" applyProtection="1">
      <protection hidden="1"/>
    </xf>
    <xf numFmtId="49" fontId="3" fillId="0" borderId="0" xfId="0" applyNumberFormat="1" applyFont="1" applyAlignment="1" applyProtection="1">
      <alignment horizontal="right"/>
      <protection hidden="1"/>
    </xf>
    <xf numFmtId="164" fontId="3" fillId="0" borderId="0" xfId="0" applyNumberFormat="1" applyFont="1" applyAlignment="1" applyProtection="1">
      <alignment horizontal="right"/>
      <protection hidden="1"/>
    </xf>
    <xf numFmtId="2" fontId="3" fillId="0" borderId="0" xfId="0" applyNumberFormat="1" applyFont="1" applyProtection="1">
      <protection hidden="1"/>
    </xf>
    <xf numFmtId="168" fontId="3" fillId="0" borderId="0" xfId="0" applyNumberFormat="1" applyFont="1" applyProtection="1">
      <protection hidden="1"/>
    </xf>
    <xf numFmtId="0" fontId="14" fillId="0" borderId="0" xfId="0" applyFont="1" applyAlignment="1" applyProtection="1">
      <alignment horizontal="center"/>
      <protection hidden="1"/>
    </xf>
    <xf numFmtId="167" fontId="3" fillId="0" borderId="0" xfId="0" applyNumberFormat="1" applyFont="1" applyAlignment="1" applyProtection="1">
      <alignment horizontal="center"/>
      <protection hidden="1"/>
    </xf>
    <xf numFmtId="0" fontId="3" fillId="0" borderId="0" xfId="0" applyFont="1" applyProtection="1"/>
    <xf numFmtId="0" fontId="3" fillId="0" borderId="42" xfId="0" applyFont="1" applyFill="1" applyBorder="1" applyAlignment="1" applyProtection="1">
      <alignment horizontal="left"/>
    </xf>
    <xf numFmtId="0" fontId="3" fillId="0" borderId="0" xfId="0" applyFont="1" applyFill="1" applyProtection="1"/>
    <xf numFmtId="0" fontId="15" fillId="0" borderId="0" xfId="0" applyFont="1" applyFill="1" applyBorder="1" applyAlignment="1" applyProtection="1">
      <alignment vertical="center"/>
    </xf>
    <xf numFmtId="0" fontId="7" fillId="0" borderId="0" xfId="0" applyFont="1" applyAlignment="1" applyProtection="1">
      <alignment horizontal="centerContinuous"/>
    </xf>
    <xf numFmtId="169" fontId="3" fillId="0" borderId="0" xfId="0" applyNumberFormat="1" applyFont="1" applyProtection="1"/>
    <xf numFmtId="0" fontId="16" fillId="0" borderId="30" xfId="0" applyFont="1" applyBorder="1" applyAlignment="1" applyProtection="1">
      <alignment horizontal="left" vertical="center"/>
    </xf>
    <xf numFmtId="0" fontId="3" fillId="0" borderId="33" xfId="0" applyFont="1" applyBorder="1" applyAlignment="1" applyProtection="1">
      <alignment horizontal="center" vertical="center"/>
    </xf>
    <xf numFmtId="2" fontId="3" fillId="0" borderId="33" xfId="0" applyNumberFormat="1" applyFont="1" applyBorder="1" applyAlignment="1" applyProtection="1">
      <alignment horizontal="center" vertical="center" wrapText="1"/>
    </xf>
    <xf numFmtId="0" fontId="3" fillId="0" borderId="0" xfId="0" applyFont="1" applyAlignment="1" applyProtection="1">
      <alignment vertical="center"/>
    </xf>
    <xf numFmtId="0" fontId="7" fillId="0" borderId="0" xfId="0" applyFont="1" applyAlignment="1" applyProtection="1">
      <alignment horizontal="center" vertical="center"/>
    </xf>
    <xf numFmtId="169" fontId="3" fillId="0" borderId="0" xfId="0" applyNumberFormat="1" applyFont="1" applyAlignment="1" applyProtection="1">
      <alignment vertical="center"/>
    </xf>
    <xf numFmtId="0" fontId="3" fillId="0" borderId="34" xfId="0" applyFont="1" applyBorder="1" applyAlignment="1" applyProtection="1">
      <alignment horizontal="left"/>
    </xf>
    <xf numFmtId="0" fontId="7" fillId="3" borderId="37" xfId="0" applyFont="1" applyFill="1" applyBorder="1" applyAlignment="1" applyProtection="1">
      <alignment horizontal="center"/>
      <protection locked="0"/>
    </xf>
    <xf numFmtId="1" fontId="7" fillId="3" borderId="42" xfId="0" applyNumberFormat="1" applyFont="1" applyFill="1" applyBorder="1" applyAlignment="1" applyProtection="1">
      <alignment horizontal="center"/>
      <protection locked="0"/>
    </xf>
    <xf numFmtId="0" fontId="3" fillId="0" borderId="0" xfId="0" applyFont="1" applyBorder="1" applyProtection="1"/>
    <xf numFmtId="0" fontId="6" fillId="0" borderId="0" xfId="0" applyFont="1" applyAlignment="1" applyProtection="1">
      <alignment vertical="center" wrapText="1"/>
    </xf>
    <xf numFmtId="0" fontId="3" fillId="0" borderId="24" xfId="0" applyFont="1" applyBorder="1" applyAlignment="1" applyProtection="1">
      <alignment horizontal="left"/>
    </xf>
    <xf numFmtId="0" fontId="3" fillId="0" borderId="24" xfId="0" applyFont="1" applyBorder="1" applyProtection="1"/>
    <xf numFmtId="0" fontId="3" fillId="0" borderId="38" xfId="0" applyFont="1" applyBorder="1" applyAlignment="1" applyProtection="1">
      <alignment horizontal="left"/>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Continuous"/>
    </xf>
    <xf numFmtId="0" fontId="3" fillId="0" borderId="0" xfId="0" applyFont="1" applyFill="1" applyBorder="1" applyAlignment="1" applyProtection="1">
      <alignment horizontal="right"/>
    </xf>
    <xf numFmtId="1" fontId="10" fillId="0" borderId="0" xfId="0" applyNumberFormat="1" applyFont="1" applyFill="1" applyBorder="1" applyAlignment="1" applyProtection="1">
      <alignment horizontal="center"/>
    </xf>
    <xf numFmtId="0" fontId="3" fillId="0" borderId="0" xfId="0" quotePrefix="1" applyFont="1" applyFill="1" applyBorder="1" applyProtection="1"/>
    <xf numFmtId="0" fontId="6" fillId="0" borderId="0" xfId="0" applyFont="1" applyFill="1" applyAlignment="1" applyProtection="1">
      <alignment vertical="center" wrapText="1"/>
    </xf>
    <xf numFmtId="0" fontId="7" fillId="0" borderId="0" xfId="0" applyFont="1" applyFill="1" applyAlignment="1" applyProtection="1">
      <alignment horizontal="centerContinuous"/>
    </xf>
    <xf numFmtId="169" fontId="3" fillId="0" borderId="0" xfId="0" applyNumberFormat="1" applyFont="1" applyFill="1" applyProtection="1"/>
    <xf numFmtId="166" fontId="3" fillId="0" borderId="31"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Protection="1"/>
    <xf numFmtId="0" fontId="6" fillId="0" borderId="0" xfId="0" applyFont="1" applyFill="1" applyBorder="1" applyAlignment="1" applyProtection="1">
      <alignment vertical="center" wrapText="1"/>
    </xf>
    <xf numFmtId="169" fontId="3" fillId="0" borderId="0" xfId="0" applyNumberFormat="1" applyFont="1" applyFill="1" applyBorder="1" applyProtection="1"/>
    <xf numFmtId="0" fontId="3" fillId="0" borderId="0" xfId="0" applyFont="1" applyAlignment="1" applyProtection="1">
      <alignment horizontal="left"/>
    </xf>
    <xf numFmtId="0" fontId="7" fillId="0" borderId="0" xfId="0" applyFont="1" applyAlignment="1" applyProtection="1">
      <alignment horizontal="center"/>
    </xf>
    <xf numFmtId="0" fontId="3" fillId="0" borderId="59" xfId="0" applyFont="1" applyBorder="1" applyAlignment="1" applyProtection="1">
      <alignment horizontal="right"/>
    </xf>
    <xf numFmtId="2" fontId="7" fillId="3" borderId="12" xfId="0" applyNumberFormat="1" applyFont="1" applyFill="1" applyBorder="1" applyAlignment="1" applyProtection="1">
      <alignment horizontal="center"/>
      <protection locked="0"/>
    </xf>
    <xf numFmtId="165" fontId="5" fillId="0" borderId="13" xfId="0" applyNumberFormat="1" applyFont="1" applyBorder="1" applyAlignment="1" applyProtection="1">
      <alignment horizontal="center"/>
    </xf>
    <xf numFmtId="0" fontId="3" fillId="0" borderId="0" xfId="0" applyFont="1" applyAlignment="1" applyProtection="1">
      <alignment horizontal="right" wrapText="1"/>
    </xf>
    <xf numFmtId="164" fontId="10" fillId="0" borderId="0" xfId="0" applyNumberFormat="1" applyFont="1" applyFill="1" applyAlignment="1" applyProtection="1">
      <alignment horizontal="center"/>
    </xf>
    <xf numFmtId="0" fontId="3" fillId="0" borderId="0" xfId="0" quotePrefix="1" applyFont="1" applyProtection="1"/>
    <xf numFmtId="1" fontId="3" fillId="0" borderId="0" xfId="0" applyNumberFormat="1" applyFont="1" applyProtection="1"/>
    <xf numFmtId="0" fontId="3" fillId="0" borderId="60" xfId="0" applyFont="1" applyBorder="1" applyAlignment="1" applyProtection="1">
      <alignment horizontal="right"/>
    </xf>
    <xf numFmtId="164" fontId="7" fillId="3" borderId="53" xfId="0" applyNumberFormat="1" applyFont="1" applyFill="1" applyBorder="1" applyAlignment="1" applyProtection="1">
      <alignment horizontal="center"/>
      <protection locked="0"/>
    </xf>
    <xf numFmtId="0" fontId="3" fillId="0" borderId="61" xfId="0" quotePrefix="1" applyFont="1" applyBorder="1" applyProtection="1"/>
    <xf numFmtId="1" fontId="7" fillId="3" borderId="53" xfId="0" applyNumberFormat="1" applyFont="1" applyFill="1" applyBorder="1" applyAlignment="1" applyProtection="1">
      <alignment horizontal="center"/>
      <protection locked="0"/>
    </xf>
    <xf numFmtId="0" fontId="3" fillId="0" borderId="62" xfId="0" applyFont="1" applyBorder="1" applyAlignment="1" applyProtection="1">
      <alignment horizontal="right" wrapText="1"/>
    </xf>
    <xf numFmtId="164" fontId="7" fillId="3" borderId="57" xfId="0" applyNumberFormat="1" applyFont="1" applyFill="1" applyBorder="1" applyAlignment="1" applyProtection="1">
      <alignment horizontal="center"/>
      <protection locked="0"/>
    </xf>
    <xf numFmtId="0" fontId="3" fillId="0" borderId="63" xfId="0" quotePrefix="1" applyFont="1" applyBorder="1" applyProtection="1"/>
    <xf numFmtId="0" fontId="3" fillId="0" borderId="25" xfId="0" applyFont="1" applyBorder="1" applyAlignment="1" applyProtection="1">
      <alignment horizontal="right" wrapText="1"/>
    </xf>
    <xf numFmtId="0" fontId="3" fillId="0" borderId="64" xfId="0" quotePrefix="1" applyFont="1" applyBorder="1" applyProtection="1"/>
    <xf numFmtId="1" fontId="10" fillId="0" borderId="0" xfId="0" applyNumberFormat="1" applyFont="1" applyAlignment="1" applyProtection="1">
      <alignment horizontal="center"/>
    </xf>
    <xf numFmtId="0" fontId="15" fillId="0" borderId="0" xfId="0" applyFont="1" applyFill="1" applyAlignment="1" applyProtection="1"/>
    <xf numFmtId="0" fontId="3" fillId="0" borderId="33" xfId="0" applyFont="1" applyBorder="1" applyAlignment="1" applyProtection="1">
      <alignment vertical="center"/>
    </xf>
    <xf numFmtId="0" fontId="3" fillId="0" borderId="33" xfId="0" applyFont="1" applyBorder="1" applyAlignment="1" applyProtection="1">
      <alignment horizontal="center" vertical="center" wrapText="1"/>
    </xf>
    <xf numFmtId="14" fontId="3" fillId="0" borderId="0" xfId="0" applyNumberFormat="1" applyFont="1" applyAlignment="1" applyProtection="1">
      <alignment vertical="center"/>
    </xf>
    <xf numFmtId="1" fontId="3" fillId="4" borderId="0" xfId="0" applyNumberFormat="1" applyFont="1" applyFill="1" applyBorder="1" applyAlignment="1" applyProtection="1">
      <alignment horizontal="center"/>
    </xf>
    <xf numFmtId="2" fontId="3" fillId="0" borderId="36" xfId="0" applyNumberFormat="1" applyFont="1" applyBorder="1" applyAlignment="1" applyProtection="1">
      <alignment horizontal="center"/>
    </xf>
    <xf numFmtId="0" fontId="3" fillId="0" borderId="0" xfId="0" applyFont="1" applyAlignment="1" applyProtection="1">
      <alignment wrapText="1"/>
    </xf>
    <xf numFmtId="0" fontId="3" fillId="4" borderId="0" xfId="0" applyFont="1" applyFill="1" applyBorder="1" applyAlignment="1" applyProtection="1">
      <alignment horizontal="center"/>
    </xf>
    <xf numFmtId="0" fontId="3" fillId="4" borderId="28" xfId="0" applyFont="1" applyFill="1" applyBorder="1" applyAlignment="1" applyProtection="1">
      <alignment horizontal="center"/>
    </xf>
    <xf numFmtId="2" fontId="3" fillId="0" borderId="39" xfId="0" applyNumberFormat="1" applyFont="1" applyBorder="1" applyAlignment="1" applyProtection="1">
      <alignment horizontal="center"/>
    </xf>
    <xf numFmtId="0" fontId="10" fillId="0" borderId="0" xfId="0" applyFont="1" applyAlignment="1" applyProtection="1">
      <alignment horizontal="center"/>
    </xf>
    <xf numFmtId="2" fontId="3" fillId="0" borderId="0" xfId="0" applyNumberFormat="1" applyFont="1" applyAlignment="1" applyProtection="1">
      <alignment horizontal="center"/>
    </xf>
    <xf numFmtId="0" fontId="7" fillId="0" borderId="0" xfId="0" applyFont="1" applyProtection="1"/>
    <xf numFmtId="0" fontId="3" fillId="0" borderId="0" xfId="0" applyFont="1" applyAlignment="1" applyProtection="1">
      <alignment horizontal="center"/>
    </xf>
    <xf numFmtId="1" fontId="7" fillId="0" borderId="0" xfId="0" applyNumberFormat="1" applyFont="1" applyProtection="1"/>
    <xf numFmtId="0" fontId="15" fillId="0" borderId="30" xfId="0" applyFont="1" applyBorder="1" applyAlignment="1" applyProtection="1">
      <alignment horizontal="left"/>
    </xf>
    <xf numFmtId="0" fontId="3" fillId="0" borderId="33" xfId="0" applyFont="1" applyBorder="1" applyAlignment="1" applyProtection="1">
      <alignment horizontal="center"/>
    </xf>
    <xf numFmtId="0" fontId="3" fillId="0" borderId="38" xfId="0" applyFont="1" applyBorder="1" applyAlignment="1" applyProtection="1">
      <alignment horizontal="center"/>
    </xf>
    <xf numFmtId="2" fontId="7" fillId="0" borderId="33" xfId="0" applyNumberFormat="1" applyFont="1" applyFill="1" applyBorder="1" applyAlignment="1" applyProtection="1">
      <alignment horizontal="centerContinuous"/>
    </xf>
    <xf numFmtId="0" fontId="15" fillId="0" borderId="30" xfId="0" applyFont="1" applyBorder="1" applyProtection="1"/>
    <xf numFmtId="0" fontId="0" fillId="0" borderId="0" xfId="0" applyProtection="1"/>
    <xf numFmtId="168" fontId="0" fillId="0" borderId="0" xfId="0" applyNumberFormat="1" applyProtection="1"/>
    <xf numFmtId="49" fontId="0" fillId="0" borderId="0" xfId="0" applyNumberFormat="1" applyProtection="1"/>
    <xf numFmtId="49" fontId="3" fillId="0" borderId="0" xfId="0" applyNumberFormat="1" applyFont="1" applyAlignment="1" applyProtection="1">
      <alignment horizontal="right"/>
    </xf>
    <xf numFmtId="164" fontId="3" fillId="0" borderId="0" xfId="0" applyNumberFormat="1" applyFont="1" applyAlignment="1" applyProtection="1">
      <alignment horizontal="right"/>
    </xf>
    <xf numFmtId="2" fontId="3" fillId="0" borderId="0" xfId="0" applyNumberFormat="1" applyFont="1" applyProtection="1"/>
    <xf numFmtId="167" fontId="3" fillId="0" borderId="0" xfId="0" applyNumberFormat="1" applyFont="1" applyProtection="1"/>
    <xf numFmtId="168" fontId="3" fillId="0" borderId="0" xfId="0" applyNumberFormat="1" applyFont="1" applyProtection="1"/>
    <xf numFmtId="49" fontId="3" fillId="0" borderId="0" xfId="0" applyNumberFormat="1" applyFont="1" applyProtection="1"/>
    <xf numFmtId="0" fontId="14" fillId="0" borderId="0" xfId="0" applyFont="1" applyAlignment="1" applyProtection="1">
      <alignment horizontal="center"/>
    </xf>
    <xf numFmtId="167" fontId="3" fillId="0" borderId="0" xfId="0" applyNumberFormat="1" applyFont="1" applyAlignment="1" applyProtection="1">
      <alignment horizontal="center"/>
    </xf>
    <xf numFmtId="0" fontId="3" fillId="0" borderId="37" xfId="0" applyFont="1" applyBorder="1" applyAlignment="1" applyProtection="1">
      <alignment horizontal="center"/>
    </xf>
    <xf numFmtId="1" fontId="3" fillId="0" borderId="37" xfId="0" applyNumberFormat="1" applyFont="1" applyBorder="1" applyAlignment="1" applyProtection="1">
      <alignment horizontal="left"/>
    </xf>
    <xf numFmtId="1" fontId="3" fillId="0" borderId="37" xfId="0" applyNumberFormat="1" applyFont="1" applyFill="1" applyBorder="1" applyAlignment="1" applyProtection="1">
      <alignment horizontal="center"/>
    </xf>
    <xf numFmtId="2" fontId="3" fillId="0" borderId="42" xfId="0" applyNumberFormat="1" applyFont="1" applyFill="1" applyBorder="1" applyAlignment="1" applyProtection="1">
      <alignment horizontal="center"/>
    </xf>
    <xf numFmtId="1" fontId="13" fillId="0" borderId="0" xfId="0" applyNumberFormat="1" applyFont="1" applyBorder="1" applyProtection="1"/>
    <xf numFmtId="1" fontId="3" fillId="0" borderId="36" xfId="0" applyNumberFormat="1" applyFont="1" applyBorder="1" applyAlignment="1" applyProtection="1">
      <alignment horizontal="left"/>
    </xf>
    <xf numFmtId="1" fontId="3" fillId="0" borderId="36" xfId="0" applyNumberFormat="1" applyFont="1" applyFill="1" applyBorder="1" applyAlignment="1" applyProtection="1">
      <alignment horizontal="center"/>
    </xf>
    <xf numFmtId="2" fontId="3" fillId="0" borderId="0" xfId="0" applyNumberFormat="1" applyFont="1" applyFill="1" applyBorder="1" applyAlignment="1" applyProtection="1">
      <alignment horizontal="center"/>
    </xf>
    <xf numFmtId="166" fontId="5" fillId="0" borderId="0" xfId="0" applyNumberFormat="1" applyFont="1" applyBorder="1" applyProtection="1"/>
    <xf numFmtId="0" fontId="3" fillId="0" borderId="0" xfId="0" applyFont="1" applyBorder="1" applyAlignment="1" applyProtection="1">
      <alignment horizontal="right"/>
    </xf>
    <xf numFmtId="165" fontId="3" fillId="0" borderId="0" xfId="0" applyNumberFormat="1" applyFont="1" applyProtection="1"/>
    <xf numFmtId="0" fontId="2" fillId="0" borderId="0" xfId="0" applyFont="1" applyFill="1" applyProtection="1"/>
    <xf numFmtId="165" fontId="5" fillId="0" borderId="0" xfId="0" applyNumberFormat="1" applyFont="1" applyFill="1" applyAlignment="1" applyProtection="1">
      <alignment horizontal="left"/>
    </xf>
    <xf numFmtId="165" fontId="5" fillId="0" borderId="0" xfId="0" applyNumberFormat="1" applyFont="1" applyFill="1" applyAlignment="1" applyProtection="1">
      <alignment horizontal="center"/>
    </xf>
    <xf numFmtId="0" fontId="3" fillId="0" borderId="39" xfId="0" applyFont="1" applyBorder="1" applyAlignment="1" applyProtection="1">
      <alignment horizontal="left"/>
    </xf>
    <xf numFmtId="167" fontId="3" fillId="0" borderId="65" xfId="0" applyNumberFormat="1" applyFont="1" applyFill="1" applyBorder="1" applyAlignment="1" applyProtection="1">
      <alignment horizontal="center"/>
    </xf>
    <xf numFmtId="2" fontId="7" fillId="0" borderId="28" xfId="0" applyNumberFormat="1" applyFont="1" applyFill="1" applyBorder="1" applyAlignment="1" applyProtection="1">
      <alignment horizontal="center"/>
    </xf>
    <xf numFmtId="166" fontId="3" fillId="0" borderId="39" xfId="0" applyNumberFormat="1" applyFont="1" applyFill="1" applyBorder="1" applyAlignment="1" applyProtection="1">
      <alignment horizontal="center"/>
    </xf>
    <xf numFmtId="2" fontId="3" fillId="0" borderId="28" xfId="0" applyNumberFormat="1" applyFont="1" applyFill="1" applyBorder="1" applyAlignment="1" applyProtection="1">
      <alignment horizontal="center"/>
    </xf>
    <xf numFmtId="165" fontId="3" fillId="0" borderId="39" xfId="0" applyNumberFormat="1" applyFont="1" applyFill="1" applyBorder="1" applyAlignment="1" applyProtection="1">
      <alignment horizontal="center"/>
    </xf>
    <xf numFmtId="165" fontId="7" fillId="0" borderId="0" xfId="0" applyNumberFormat="1" applyFont="1" applyProtection="1"/>
    <xf numFmtId="49" fontId="3" fillId="0" borderId="30" xfId="0" applyNumberFormat="1" applyFont="1" applyBorder="1" applyProtection="1"/>
    <xf numFmtId="49" fontId="3" fillId="0" borderId="24" xfId="0" applyNumberFormat="1" applyFont="1" applyBorder="1" applyProtection="1"/>
    <xf numFmtId="49" fontId="3" fillId="0" borderId="24" xfId="0" applyNumberFormat="1" applyFont="1" applyFill="1" applyBorder="1" applyProtection="1"/>
    <xf numFmtId="0" fontId="3" fillId="0" borderId="30" xfId="0" applyFont="1" applyBorder="1" applyProtection="1"/>
    <xf numFmtId="0" fontId="23" fillId="0" borderId="19" xfId="0" applyFont="1" applyBorder="1" applyAlignment="1" applyProtection="1">
      <alignment horizontal="left"/>
    </xf>
    <xf numFmtId="17" fontId="23" fillId="0" borderId="7" xfId="0" applyNumberFormat="1" applyFont="1" applyBorder="1" applyAlignment="1" applyProtection="1">
      <alignment horizontal="left"/>
    </xf>
    <xf numFmtId="0" fontId="7" fillId="0" borderId="7" xfId="0" applyFont="1" applyBorder="1" applyAlignment="1" applyProtection="1">
      <alignment horizontal="left"/>
    </xf>
    <xf numFmtId="0" fontId="7" fillId="0" borderId="23" xfId="0" applyFont="1" applyBorder="1" applyAlignment="1" applyProtection="1">
      <alignment horizontal="left"/>
    </xf>
    <xf numFmtId="0" fontId="8" fillId="0" borderId="2" xfId="0" applyFont="1" applyBorder="1" applyProtection="1"/>
    <xf numFmtId="0" fontId="8" fillId="0" borderId="18" xfId="0" applyFont="1" applyBorder="1" applyProtection="1"/>
    <xf numFmtId="0" fontId="8" fillId="0" borderId="21" xfId="0" applyFont="1" applyBorder="1" applyProtection="1"/>
    <xf numFmtId="0" fontId="8" fillId="0" borderId="22" xfId="0" applyFont="1" applyBorder="1" applyProtection="1"/>
    <xf numFmtId="0" fontId="8" fillId="0" borderId="1" xfId="0" applyFont="1" applyBorder="1" applyProtection="1"/>
    <xf numFmtId="0" fontId="0" fillId="0" borderId="0" xfId="0" applyAlignment="1" applyProtection="1">
      <alignment vertical="center"/>
    </xf>
    <xf numFmtId="0" fontId="8" fillId="0" borderId="68" xfId="0" applyFont="1" applyBorder="1" applyAlignment="1" applyProtection="1"/>
    <xf numFmtId="0" fontId="8" fillId="0" borderId="2" xfId="0" applyFont="1" applyBorder="1" applyAlignment="1" applyProtection="1"/>
    <xf numFmtId="0" fontId="8" fillId="0" borderId="34" xfId="0" applyFont="1" applyBorder="1" applyAlignment="1" applyProtection="1"/>
    <xf numFmtId="0" fontId="8" fillId="0" borderId="42" xfId="0" applyFont="1" applyBorder="1" applyAlignment="1" applyProtection="1"/>
    <xf numFmtId="0" fontId="8" fillId="0" borderId="35" xfId="0" applyFont="1" applyBorder="1" applyAlignment="1" applyProtection="1"/>
    <xf numFmtId="0" fontId="8" fillId="0" borderId="24" xfId="0" applyFont="1" applyBorder="1" applyAlignment="1" applyProtection="1"/>
    <xf numFmtId="0" fontId="8" fillId="0" borderId="0" xfId="0" applyFont="1" applyBorder="1" applyAlignment="1" applyProtection="1"/>
    <xf numFmtId="0" fontId="8" fillId="0" borderId="20" xfId="0" applyFont="1" applyBorder="1" applyAlignment="1" applyProtection="1"/>
    <xf numFmtId="0" fontId="0" fillId="0" borderId="0" xfId="0" applyBorder="1" applyProtection="1"/>
    <xf numFmtId="0" fontId="0" fillId="0" borderId="20" xfId="0" applyBorder="1" applyProtection="1"/>
    <xf numFmtId="0" fontId="8" fillId="0" borderId="38" xfId="0" applyFont="1" applyBorder="1" applyAlignment="1" applyProtection="1"/>
    <xf numFmtId="0" fontId="8" fillId="0" borderId="28" xfId="0" applyFont="1" applyBorder="1" applyAlignment="1" applyProtection="1"/>
    <xf numFmtId="0" fontId="0" fillId="0" borderId="28" xfId="0" applyBorder="1" applyProtection="1"/>
    <xf numFmtId="0" fontId="0" fillId="0" borderId="29" xfId="0" applyBorder="1" applyProtection="1"/>
    <xf numFmtId="164" fontId="8" fillId="0" borderId="0" xfId="0" applyNumberFormat="1" applyFont="1" applyBorder="1" applyAlignment="1" applyProtection="1"/>
    <xf numFmtId="0" fontId="0" fillId="0" borderId="0" xfId="0" applyFill="1" applyProtection="1"/>
    <xf numFmtId="0" fontId="8" fillId="0" borderId="0" xfId="0" applyFont="1" applyFill="1" applyBorder="1" applyAlignment="1" applyProtection="1"/>
    <xf numFmtId="0" fontId="8" fillId="0" borderId="38" xfId="0" applyFont="1" applyBorder="1" applyAlignment="1" applyProtection="1">
      <alignment horizontal="center"/>
    </xf>
    <xf numFmtId="0" fontId="0" fillId="0" borderId="2" xfId="0" applyBorder="1" applyProtection="1"/>
    <xf numFmtId="0" fontId="8" fillId="0" borderId="18" xfId="0" applyFont="1" applyBorder="1" applyAlignment="1" applyProtection="1"/>
    <xf numFmtId="0" fontId="8" fillId="0" borderId="24" xfId="0" applyFont="1" applyBorder="1" applyAlignment="1" applyProtection="1">
      <alignment wrapText="1"/>
    </xf>
    <xf numFmtId="0" fontId="8" fillId="0" borderId="20" xfId="0" applyFont="1" applyBorder="1" applyAlignment="1" applyProtection="1">
      <alignment wrapText="1"/>
    </xf>
    <xf numFmtId="0" fontId="0" fillId="0" borderId="0" xfId="0" applyAlignment="1" applyProtection="1">
      <alignment wrapText="1"/>
    </xf>
    <xf numFmtId="0" fontId="8" fillId="0" borderId="36" xfId="0" applyFont="1" applyBorder="1" applyAlignment="1" applyProtection="1"/>
    <xf numFmtId="0" fontId="8" fillId="0" borderId="19" xfId="0" applyFont="1" applyBorder="1" applyAlignment="1" applyProtection="1"/>
    <xf numFmtId="0" fontId="3" fillId="0" borderId="7" xfId="0" applyFont="1" applyBorder="1" applyAlignment="1" applyProtection="1">
      <alignment horizontal="center"/>
    </xf>
    <xf numFmtId="0" fontId="8" fillId="0" borderId="7" xfId="0" applyFont="1" applyBorder="1" applyAlignment="1" applyProtection="1">
      <alignment horizontal="center"/>
    </xf>
    <xf numFmtId="0" fontId="8" fillId="0" borderId="23" xfId="0" applyFont="1" applyBorder="1" applyAlignment="1" applyProtection="1">
      <alignment horizontal="center"/>
    </xf>
    <xf numFmtId="0" fontId="8" fillId="0" borderId="24" xfId="0" applyFont="1" applyBorder="1" applyAlignment="1" applyProtection="1">
      <alignment horizontal="center"/>
    </xf>
    <xf numFmtId="0" fontId="8" fillId="0" borderId="0" xfId="0" applyFont="1" applyBorder="1" applyAlignment="1" applyProtection="1">
      <alignment horizontal="center"/>
    </xf>
    <xf numFmtId="0" fontId="8" fillId="0" borderId="20" xfId="0" applyFont="1" applyBorder="1" applyAlignment="1" applyProtection="1">
      <alignment horizontal="center"/>
    </xf>
    <xf numFmtId="0" fontId="8" fillId="0" borderId="28" xfId="0" applyFont="1" applyBorder="1" applyAlignment="1" applyProtection="1">
      <alignment horizontal="center"/>
    </xf>
    <xf numFmtId="0" fontId="8" fillId="0" borderId="29" xfId="0" applyFont="1" applyBorder="1" applyAlignment="1" applyProtection="1">
      <alignment horizontal="center"/>
    </xf>
    <xf numFmtId="167" fontId="3" fillId="0" borderId="24" xfId="0" applyNumberFormat="1" applyFont="1" applyFill="1" applyBorder="1" applyAlignment="1" applyProtection="1">
      <alignment horizontal="center"/>
    </xf>
    <xf numFmtId="0" fontId="3" fillId="0" borderId="20" xfId="0" applyFont="1" applyFill="1" applyBorder="1" applyAlignment="1" applyProtection="1">
      <alignment horizontal="center"/>
    </xf>
    <xf numFmtId="164" fontId="3" fillId="0" borderId="20" xfId="0" applyNumberFormat="1" applyFont="1" applyFill="1" applyBorder="1" applyAlignment="1" applyProtection="1">
      <alignment horizontal="center"/>
    </xf>
    <xf numFmtId="167" fontId="3" fillId="0" borderId="34" xfId="0" applyNumberFormat="1" applyFont="1" applyFill="1" applyBorder="1" applyAlignment="1" applyProtection="1">
      <alignment horizontal="center"/>
    </xf>
    <xf numFmtId="167" fontId="3" fillId="0" borderId="38" xfId="0" applyNumberFormat="1" applyFont="1" applyFill="1" applyBorder="1" applyAlignment="1" applyProtection="1">
      <alignment horizontal="center"/>
    </xf>
    <xf numFmtId="0" fontId="3" fillId="0" borderId="35" xfId="0" applyFont="1" applyFill="1" applyBorder="1" applyAlignment="1" applyProtection="1">
      <alignment horizontal="center"/>
    </xf>
    <xf numFmtId="2" fontId="7" fillId="0" borderId="0" xfId="0" applyNumberFormat="1" applyFont="1" applyBorder="1" applyProtection="1">
      <protection hidden="1"/>
    </xf>
    <xf numFmtId="166" fontId="7" fillId="0" borderId="33" xfId="0" applyNumberFormat="1" applyFont="1" applyBorder="1" applyAlignment="1" applyProtection="1">
      <alignment horizontal="center"/>
      <protection hidden="1"/>
    </xf>
    <xf numFmtId="0" fontId="12" fillId="0" borderId="29" xfId="0" applyFont="1" applyFill="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3" fillId="0" borderId="30" xfId="0" applyFont="1" applyBorder="1" applyAlignment="1" applyProtection="1">
      <alignment horizontal="center" vertical="center" wrapText="1"/>
      <protection hidden="1"/>
    </xf>
    <xf numFmtId="0" fontId="3" fillId="0" borderId="0" xfId="0" applyFont="1" applyFill="1" applyBorder="1" applyAlignment="1" applyProtection="1">
      <alignment horizontal="left"/>
    </xf>
    <xf numFmtId="0" fontId="3" fillId="0" borderId="37" xfId="0" applyFont="1" applyBorder="1" applyAlignment="1" applyProtection="1">
      <alignment horizontal="center" vertical="center"/>
    </xf>
    <xf numFmtId="0" fontId="3" fillId="0" borderId="36" xfId="0" applyFont="1" applyBorder="1" applyAlignment="1" applyProtection="1">
      <alignment horizontal="center" vertical="center"/>
    </xf>
    <xf numFmtId="2" fontId="3" fillId="0" borderId="31" xfId="0" applyNumberFormat="1" applyFont="1" applyFill="1" applyBorder="1" applyAlignment="1" applyProtection="1">
      <alignment horizontal="center"/>
      <protection hidden="1"/>
    </xf>
    <xf numFmtId="0" fontId="29" fillId="0" borderId="0" xfId="0" applyFont="1" applyProtection="1"/>
    <xf numFmtId="0" fontId="30" fillId="0" borderId="0" xfId="0" applyFont="1" applyBorder="1" applyAlignment="1" applyProtection="1">
      <alignment vertical="center" wrapText="1"/>
    </xf>
    <xf numFmtId="172" fontId="7" fillId="0" borderId="13" xfId="0" applyNumberFormat="1" applyFont="1" applyFill="1" applyBorder="1" applyProtection="1"/>
    <xf numFmtId="172" fontId="27" fillId="3" borderId="13" xfId="0" applyNumberFormat="1" applyFont="1" applyFill="1" applyBorder="1" applyProtection="1">
      <protection locked="0"/>
    </xf>
    <xf numFmtId="0" fontId="3" fillId="0" borderId="39"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7" fillId="0" borderId="49" xfId="0" applyFont="1" applyBorder="1" applyProtection="1"/>
    <xf numFmtId="0" fontId="0" fillId="0" borderId="24" xfId="0" applyBorder="1" applyProtection="1"/>
    <xf numFmtId="0" fontId="0" fillId="0" borderId="24" xfId="0" applyFill="1" applyBorder="1" applyProtection="1"/>
    <xf numFmtId="0" fontId="3" fillId="0" borderId="39" xfId="0" applyFont="1" applyBorder="1" applyAlignment="1" applyProtection="1">
      <alignment horizontal="center" vertical="center"/>
    </xf>
    <xf numFmtId="0" fontId="3" fillId="0" borderId="24" xfId="0" applyFont="1" applyBorder="1" applyAlignment="1" applyProtection="1">
      <alignment horizontal="left" vertical="center"/>
    </xf>
    <xf numFmtId="0" fontId="3" fillId="0" borderId="38" xfId="0" applyFont="1" applyBorder="1" applyAlignment="1" applyProtection="1">
      <alignment horizontal="left" vertical="center"/>
    </xf>
    <xf numFmtId="2" fontId="3" fillId="0" borderId="20" xfId="0" applyNumberFormat="1" applyFont="1" applyBorder="1" applyAlignment="1" applyProtection="1">
      <alignment horizontal="center"/>
    </xf>
    <xf numFmtId="0" fontId="3" fillId="0" borderId="38"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8" fillId="0" borderId="12" xfId="0" applyFont="1" applyBorder="1" applyProtection="1">
      <protection hidden="1"/>
    </xf>
    <xf numFmtId="1" fontId="7" fillId="3" borderId="28" xfId="0" applyNumberFormat="1" applyFont="1" applyFill="1" applyBorder="1" applyAlignment="1" applyProtection="1">
      <alignment horizontal="center"/>
      <protection locked="0"/>
    </xf>
    <xf numFmtId="1" fontId="3" fillId="0" borderId="36" xfId="0" quotePrefix="1" applyNumberFormat="1" applyFont="1" applyBorder="1" applyAlignment="1" applyProtection="1">
      <alignment horizontal="center" vertical="center"/>
    </xf>
    <xf numFmtId="2" fontId="3" fillId="0" borderId="36" xfId="0" applyNumberFormat="1" applyFont="1" applyBorder="1" applyAlignment="1" applyProtection="1">
      <alignment horizontal="left"/>
    </xf>
    <xf numFmtId="0" fontId="3" fillId="0" borderId="72"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75" xfId="0" applyFont="1" applyBorder="1" applyAlignment="1" applyProtection="1">
      <alignment horizontal="center" vertical="center"/>
    </xf>
    <xf numFmtId="0" fontId="3" fillId="0" borderId="70"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3" fillId="0" borderId="62" xfId="0" applyFont="1" applyBorder="1" applyAlignment="1" applyProtection="1">
      <alignment horizontal="center" vertical="center"/>
    </xf>
    <xf numFmtId="0" fontId="3" fillId="0" borderId="57" xfId="0" applyFont="1" applyBorder="1" applyAlignment="1" applyProtection="1">
      <alignment horizontal="center" vertical="center"/>
    </xf>
    <xf numFmtId="0" fontId="7" fillId="0" borderId="0" xfId="0" quotePrefix="1" applyFont="1" applyAlignment="1" applyProtection="1">
      <alignment horizontal="left" vertical="center"/>
    </xf>
    <xf numFmtId="1" fontId="3" fillId="0" borderId="0" xfId="0" applyNumberFormat="1" applyFont="1" applyAlignment="1" applyProtection="1">
      <alignment horizontal="right"/>
    </xf>
    <xf numFmtId="1" fontId="7" fillId="3" borderId="33" xfId="0" applyNumberFormat="1" applyFont="1" applyFill="1" applyBorder="1" applyAlignment="1" applyProtection="1">
      <alignment horizontal="center" vertical="center"/>
      <protection locked="0"/>
    </xf>
    <xf numFmtId="166" fontId="3" fillId="0" borderId="32" xfId="0" applyNumberFormat="1" applyFont="1" applyBorder="1" applyAlignment="1" applyProtection="1">
      <alignment horizontal="center" vertical="center"/>
    </xf>
    <xf numFmtId="2" fontId="7" fillId="0" borderId="36" xfId="0" applyNumberFormat="1" applyFont="1" applyBorder="1" applyAlignment="1" applyProtection="1">
      <alignment horizontal="center" vertical="center"/>
    </xf>
    <xf numFmtId="167" fontId="3" fillId="0" borderId="0" xfId="0" applyNumberFormat="1" applyFont="1" applyBorder="1" applyAlignment="1" applyProtection="1">
      <alignment horizontal="center" vertical="center"/>
    </xf>
    <xf numFmtId="0" fontId="3" fillId="0" borderId="36" xfId="0" quotePrefix="1" applyFont="1" applyBorder="1" applyAlignment="1" applyProtection="1">
      <alignment horizontal="center" vertical="center"/>
    </xf>
    <xf numFmtId="2" fontId="3" fillId="0" borderId="36" xfId="0" applyNumberFormat="1" applyFont="1" applyBorder="1" applyAlignment="1" applyProtection="1">
      <alignment horizontal="center" vertical="center"/>
    </xf>
    <xf numFmtId="1" fontId="3" fillId="0" borderId="36" xfId="0" applyNumberFormat="1" applyFont="1" applyBorder="1" applyAlignment="1" applyProtection="1">
      <alignment horizontal="center" vertical="center"/>
    </xf>
    <xf numFmtId="165" fontId="3" fillId="0" borderId="0" xfId="0" applyNumberFormat="1" applyFont="1" applyBorder="1" applyAlignment="1" applyProtection="1">
      <alignment horizontal="center" vertical="center"/>
    </xf>
    <xf numFmtId="166" fontId="3" fillId="0" borderId="0" xfId="0" applyNumberFormat="1" applyFont="1" applyBorder="1" applyAlignment="1" applyProtection="1">
      <alignment horizontal="center" vertical="center"/>
    </xf>
    <xf numFmtId="0" fontId="3" fillId="0" borderId="33" xfId="0" quotePrefix="1" applyFont="1" applyBorder="1" applyAlignment="1" applyProtection="1">
      <alignment horizontal="center" vertical="center"/>
    </xf>
    <xf numFmtId="0" fontId="3" fillId="0" borderId="34" xfId="0" applyFont="1" applyBorder="1" applyAlignment="1" applyProtection="1">
      <alignment horizontal="left" vertical="center"/>
    </xf>
    <xf numFmtId="1" fontId="3" fillId="0" borderId="37" xfId="0" applyNumberFormat="1" applyFont="1" applyBorder="1" applyAlignment="1" applyProtection="1">
      <alignment horizontal="left" vertical="center"/>
    </xf>
    <xf numFmtId="1" fontId="3" fillId="0" borderId="36" xfId="0" applyNumberFormat="1" applyFont="1" applyBorder="1" applyAlignment="1" applyProtection="1">
      <alignment horizontal="left" vertical="center"/>
    </xf>
    <xf numFmtId="0" fontId="3" fillId="0" borderId="36" xfId="0" applyFont="1" applyBorder="1" applyAlignment="1" applyProtection="1">
      <alignment horizontal="left" vertical="center"/>
    </xf>
    <xf numFmtId="0" fontId="3" fillId="0" borderId="38" xfId="0" applyFont="1" applyFill="1" applyBorder="1" applyAlignment="1" applyProtection="1">
      <alignment horizontal="left" vertical="center"/>
    </xf>
    <xf numFmtId="0" fontId="3" fillId="0" borderId="39" xfId="0" applyFont="1" applyFill="1" applyBorder="1" applyAlignment="1" applyProtection="1">
      <alignment horizontal="center" vertical="center"/>
    </xf>
    <xf numFmtId="49" fontId="8" fillId="0" borderId="19" xfId="0" applyNumberFormat="1" applyFont="1" applyBorder="1" applyAlignment="1" applyProtection="1">
      <alignment horizontal="center" vertical="center"/>
    </xf>
    <xf numFmtId="1" fontId="8" fillId="0" borderId="19" xfId="0" applyNumberFormat="1" applyFont="1" applyBorder="1" applyAlignment="1" applyProtection="1">
      <alignment horizontal="center" vertical="center"/>
    </xf>
    <xf numFmtId="164" fontId="8" fillId="0" borderId="19" xfId="0" applyNumberFormat="1" applyFont="1" applyBorder="1" applyAlignment="1" applyProtection="1">
      <alignment horizontal="center" vertical="center"/>
    </xf>
    <xf numFmtId="2" fontId="8" fillId="0" borderId="19" xfId="0" applyNumberFormat="1" applyFont="1" applyBorder="1" applyAlignment="1" applyProtection="1">
      <alignment horizontal="center" vertical="center"/>
    </xf>
    <xf numFmtId="49" fontId="8" fillId="0" borderId="38" xfId="0" applyNumberFormat="1" applyFont="1" applyBorder="1" applyAlignment="1" applyProtection="1">
      <alignment horizontal="center" vertical="center"/>
    </xf>
    <xf numFmtId="2" fontId="8" fillId="0" borderId="38" xfId="0" applyNumberFormat="1" applyFont="1" applyBorder="1" applyAlignment="1" applyProtection="1">
      <alignment horizontal="center" vertical="center"/>
    </xf>
    <xf numFmtId="164" fontId="8" fillId="0" borderId="38" xfId="0" applyNumberFormat="1" applyFont="1" applyBorder="1" applyAlignment="1" applyProtection="1">
      <alignment horizontal="center" vertical="center"/>
    </xf>
    <xf numFmtId="0" fontId="8" fillId="0" borderId="37" xfId="0" applyFont="1" applyBorder="1" applyAlignment="1" applyProtection="1">
      <alignment horizontal="center" vertical="center"/>
      <protection hidden="1"/>
    </xf>
    <xf numFmtId="0" fontId="8" fillId="0" borderId="36" xfId="0" applyFont="1" applyBorder="1" applyAlignment="1" applyProtection="1">
      <alignment horizontal="center" vertical="center"/>
      <protection hidden="1"/>
    </xf>
    <xf numFmtId="0" fontId="8" fillId="0" borderId="39" xfId="0" applyFont="1" applyBorder="1" applyAlignment="1" applyProtection="1">
      <alignment horizontal="center" vertical="center"/>
      <protection hidden="1"/>
    </xf>
    <xf numFmtId="164" fontId="26" fillId="0" borderId="0" xfId="0" applyNumberFormat="1" applyFont="1" applyAlignment="1" applyProtection="1">
      <alignment horizontal="center"/>
    </xf>
    <xf numFmtId="1" fontId="7" fillId="3" borderId="26" xfId="0" applyNumberFormat="1" applyFont="1" applyFill="1" applyBorder="1" applyAlignment="1" applyProtection="1">
      <alignment horizontal="center"/>
    </xf>
    <xf numFmtId="0" fontId="7" fillId="0" borderId="0" xfId="0" applyFont="1" applyBorder="1" applyAlignment="1" applyProtection="1">
      <alignment horizontal="centerContinuous"/>
    </xf>
    <xf numFmtId="0" fontId="25" fillId="0" borderId="0" xfId="0" applyFont="1" applyAlignment="1" applyProtection="1">
      <alignment horizontal="centerContinuous"/>
    </xf>
    <xf numFmtId="0" fontId="6" fillId="0" borderId="0" xfId="0" applyFont="1" applyBorder="1" applyAlignment="1" applyProtection="1">
      <alignment vertical="center" wrapText="1"/>
    </xf>
    <xf numFmtId="0" fontId="7" fillId="0" borderId="34" xfId="0" applyFont="1" applyBorder="1" applyProtection="1"/>
    <xf numFmtId="0" fontId="3" fillId="0" borderId="42" xfId="0" applyFont="1" applyBorder="1" applyProtection="1"/>
    <xf numFmtId="165" fontId="3" fillId="0" borderId="35" xfId="0" applyNumberFormat="1" applyFont="1" applyFill="1" applyBorder="1" applyProtection="1"/>
    <xf numFmtId="165" fontId="3" fillId="0" borderId="20" xfId="0" applyNumberFormat="1" applyFont="1" applyFill="1" applyBorder="1" applyProtection="1"/>
    <xf numFmtId="0" fontId="26" fillId="0" borderId="0" xfId="0" applyFont="1" applyProtection="1"/>
    <xf numFmtId="0" fontId="2" fillId="0" borderId="0" xfId="0" applyFont="1" applyProtection="1"/>
    <xf numFmtId="0" fontId="7" fillId="0" borderId="38" xfId="0" applyFont="1" applyBorder="1" applyProtection="1"/>
    <xf numFmtId="165" fontId="3" fillId="0" borderId="28" xfId="0" applyNumberFormat="1" applyFont="1" applyBorder="1" applyProtection="1"/>
    <xf numFmtId="0" fontId="3" fillId="0" borderId="28" xfId="0" applyFont="1" applyBorder="1" applyProtection="1"/>
    <xf numFmtId="165" fontId="3" fillId="0" borderId="29" xfId="0" applyNumberFormat="1" applyFont="1" applyFill="1" applyBorder="1" applyProtection="1"/>
    <xf numFmtId="164" fontId="10" fillId="0" borderId="0" xfId="0" applyNumberFormat="1" applyFont="1" applyAlignment="1" applyProtection="1">
      <alignment horizontal="center"/>
    </xf>
    <xf numFmtId="0" fontId="7" fillId="6" borderId="28" xfId="0" applyFont="1" applyFill="1" applyBorder="1" applyAlignment="1" applyProtection="1">
      <alignment horizontal="center"/>
      <protection locked="0" hidden="1"/>
    </xf>
    <xf numFmtId="168" fontId="7" fillId="6" borderId="20" xfId="0" applyNumberFormat="1" applyFont="1" applyFill="1" applyBorder="1" applyAlignment="1" applyProtection="1">
      <alignment horizontal="center"/>
      <protection locked="0"/>
    </xf>
    <xf numFmtId="168" fontId="7" fillId="6" borderId="29" xfId="0" applyNumberFormat="1" applyFont="1" applyFill="1" applyBorder="1" applyAlignment="1" applyProtection="1">
      <alignment horizontal="center"/>
      <protection locked="0"/>
    </xf>
    <xf numFmtId="2" fontId="3" fillId="0" borderId="29" xfId="0" applyNumberFormat="1" applyFont="1" applyBorder="1" applyAlignment="1" applyProtection="1">
      <alignment horizontal="center"/>
    </xf>
    <xf numFmtId="2" fontId="7" fillId="3" borderId="37" xfId="0" applyNumberFormat="1" applyFont="1" applyFill="1" applyBorder="1" applyAlignment="1" applyProtection="1">
      <alignment horizontal="center" vertical="center"/>
      <protection locked="0"/>
    </xf>
    <xf numFmtId="2" fontId="3" fillId="0" borderId="33" xfId="0" applyNumberFormat="1" applyFont="1" applyBorder="1" applyAlignment="1" applyProtection="1">
      <alignment horizontal="center" vertical="center"/>
    </xf>
    <xf numFmtId="2" fontId="7" fillId="3" borderId="33" xfId="0" applyNumberFormat="1" applyFont="1" applyFill="1" applyBorder="1" applyAlignment="1" applyProtection="1">
      <alignment horizontal="center" vertical="center"/>
      <protection locked="0"/>
    </xf>
    <xf numFmtId="2" fontId="3" fillId="0" borderId="39" xfId="0" applyNumberFormat="1" applyFont="1" applyBorder="1" applyAlignment="1" applyProtection="1">
      <alignment horizontal="center" vertical="center"/>
    </xf>
    <xf numFmtId="2" fontId="7" fillId="3" borderId="30" xfId="0" applyNumberFormat="1" applyFont="1" applyFill="1" applyBorder="1" applyAlignment="1" applyProtection="1">
      <alignment horizontal="center" vertical="center"/>
      <protection locked="0"/>
    </xf>
    <xf numFmtId="2" fontId="3" fillId="0" borderId="38" xfId="0" applyNumberFormat="1" applyFont="1" applyBorder="1" applyAlignment="1" applyProtection="1">
      <alignment horizontal="center" vertical="center"/>
    </xf>
    <xf numFmtId="0" fontId="3" fillId="0" borderId="43" xfId="0" applyFont="1" applyBorder="1" applyAlignment="1" applyProtection="1">
      <alignment horizontal="center" vertical="center"/>
      <protection hidden="1"/>
    </xf>
    <xf numFmtId="0" fontId="34" fillId="0" borderId="24" xfId="0" applyFont="1" applyBorder="1" applyAlignment="1">
      <alignment horizontal="center" vertical="center"/>
    </xf>
    <xf numFmtId="0" fontId="34" fillId="0" borderId="14" xfId="0" applyFont="1" applyBorder="1" applyAlignment="1">
      <alignment horizontal="center" vertical="top"/>
    </xf>
    <xf numFmtId="0" fontId="34" fillId="0" borderId="68" xfId="0" applyFont="1" applyBorder="1" applyAlignment="1">
      <alignment horizontal="center" vertical="center"/>
    </xf>
    <xf numFmtId="0" fontId="34" fillId="0" borderId="14" xfId="0" applyFont="1" applyBorder="1" applyAlignment="1">
      <alignment horizontal="center" vertical="center"/>
    </xf>
    <xf numFmtId="0" fontId="34" fillId="0" borderId="55" xfId="0" applyFont="1" applyBorder="1" applyAlignment="1">
      <alignment horizontal="center" vertical="center"/>
    </xf>
    <xf numFmtId="0" fontId="34" fillId="0" borderId="0" xfId="0" applyFont="1"/>
    <xf numFmtId="164" fontId="33" fillId="0" borderId="0" xfId="0" applyNumberFormat="1" applyFont="1" applyAlignment="1" applyProtection="1">
      <alignment horizontal="left" vertical="center"/>
      <protection locked="0"/>
    </xf>
    <xf numFmtId="0" fontId="34" fillId="0" borderId="0" xfId="0" applyFont="1" applyAlignment="1">
      <alignment vertical="center"/>
    </xf>
    <xf numFmtId="0" fontId="33" fillId="0" borderId="0" xfId="0" applyFont="1"/>
    <xf numFmtId="0" fontId="37" fillId="0" borderId="0" xfId="0" applyFont="1"/>
    <xf numFmtId="0" fontId="38" fillId="0" borderId="0" xfId="0" applyFont="1" applyAlignment="1">
      <alignment horizontal="left" vertical="center" wrapText="1"/>
    </xf>
    <xf numFmtId="0" fontId="34" fillId="0" borderId="0" xfId="0" applyFont="1" applyAlignment="1">
      <alignment horizontal="left" vertical="center" wrapText="1"/>
    </xf>
    <xf numFmtId="0" fontId="31" fillId="0" borderId="0" xfId="0" applyFont="1" applyAlignment="1">
      <alignment vertical="center"/>
    </xf>
    <xf numFmtId="0" fontId="34" fillId="0" borderId="0" xfId="0" quotePrefix="1" applyFont="1" applyAlignment="1" applyProtection="1">
      <alignment horizontal="left" vertical="center" wrapText="1" readingOrder="1"/>
      <protection locked="0"/>
    </xf>
    <xf numFmtId="0" fontId="32" fillId="0" borderId="0" xfId="0" applyFont="1"/>
    <xf numFmtId="0" fontId="34" fillId="0" borderId="0" xfId="0" quotePrefix="1" applyFont="1" applyAlignment="1">
      <alignment horizontal="left" vertical="top" wrapText="1"/>
    </xf>
    <xf numFmtId="172" fontId="18" fillId="0" borderId="0" xfId="0" applyNumberFormat="1" applyFont="1" applyBorder="1" applyAlignment="1" applyProtection="1">
      <alignment horizontal="center"/>
      <protection hidden="1"/>
    </xf>
    <xf numFmtId="164" fontId="18" fillId="0" borderId="0" xfId="0" applyNumberFormat="1" applyFont="1" applyBorder="1" applyAlignment="1" applyProtection="1">
      <alignment horizontal="left" vertical="top" wrapText="1"/>
      <protection hidden="1"/>
    </xf>
    <xf numFmtId="0" fontId="19" fillId="6" borderId="24" xfId="0" applyFont="1" applyFill="1" applyBorder="1" applyAlignment="1" applyProtection="1">
      <alignment horizontal="center"/>
      <protection locked="0" hidden="1"/>
    </xf>
    <xf numFmtId="0" fontId="19" fillId="6" borderId="38" xfId="0" applyFont="1" applyFill="1" applyBorder="1" applyAlignment="1" applyProtection="1">
      <alignment horizontal="center"/>
      <protection locked="0" hidden="1"/>
    </xf>
    <xf numFmtId="0" fontId="7" fillId="4" borderId="24" xfId="0" applyFont="1" applyFill="1" applyBorder="1" applyAlignment="1" applyProtection="1">
      <alignment horizontal="left"/>
      <protection hidden="1"/>
    </xf>
    <xf numFmtId="0" fontId="38" fillId="0" borderId="0" xfId="0" applyFont="1" applyAlignment="1">
      <alignment vertical="center" wrapText="1"/>
    </xf>
    <xf numFmtId="0" fontId="33" fillId="0" borderId="0" xfId="0" applyFont="1" applyAlignment="1">
      <alignment horizontal="left"/>
    </xf>
    <xf numFmtId="1" fontId="29" fillId="0" borderId="0" xfId="0" applyNumberFormat="1" applyFont="1" applyProtection="1"/>
    <xf numFmtId="165" fontId="3" fillId="0" borderId="37" xfId="0" applyNumberFormat="1" applyFont="1" applyBorder="1" applyAlignment="1">
      <alignment horizontal="center"/>
    </xf>
    <xf numFmtId="165" fontId="3" fillId="0" borderId="36" xfId="0" applyNumberFormat="1" applyFont="1" applyBorder="1" applyAlignment="1">
      <alignment horizontal="center"/>
    </xf>
    <xf numFmtId="165" fontId="3" fillId="0" borderId="39" xfId="0" applyNumberFormat="1" applyFont="1" applyBorder="1" applyAlignment="1">
      <alignment horizontal="center"/>
    </xf>
    <xf numFmtId="166" fontId="3" fillId="7" borderId="33" xfId="0" applyNumberFormat="1" applyFont="1" applyFill="1" applyBorder="1" applyAlignment="1" applyProtection="1">
      <alignment horizontal="center" vertical="center"/>
    </xf>
    <xf numFmtId="168" fontId="7" fillId="6" borderId="37" xfId="0" applyNumberFormat="1" applyFont="1" applyFill="1" applyBorder="1" applyAlignment="1" applyProtection="1">
      <alignment horizontal="center"/>
      <protection locked="0"/>
    </xf>
    <xf numFmtId="168" fontId="7" fillId="6" borderId="36" xfId="0" applyNumberFormat="1" applyFont="1" applyFill="1" applyBorder="1" applyAlignment="1" applyProtection="1">
      <alignment horizontal="center"/>
      <protection locked="0"/>
    </xf>
    <xf numFmtId="168" fontId="7" fillId="6" borderId="39" xfId="0" applyNumberFormat="1" applyFont="1" applyFill="1" applyBorder="1" applyAlignment="1" applyProtection="1">
      <alignment horizontal="center"/>
      <protection locked="0"/>
    </xf>
    <xf numFmtId="168" fontId="3" fillId="0" borderId="76" xfId="0" applyNumberFormat="1" applyFont="1" applyFill="1" applyBorder="1" applyAlignment="1" applyProtection="1">
      <alignment horizontal="center"/>
    </xf>
    <xf numFmtId="168" fontId="3" fillId="0" borderId="36" xfId="0" applyNumberFormat="1" applyFont="1" applyFill="1" applyBorder="1" applyAlignment="1" applyProtection="1">
      <alignment horizontal="center"/>
    </xf>
    <xf numFmtId="168" fontId="3" fillId="0" borderId="39" xfId="0" applyNumberFormat="1" applyFont="1" applyFill="1" applyBorder="1" applyAlignment="1" applyProtection="1">
      <alignment horizontal="center"/>
    </xf>
    <xf numFmtId="0" fontId="8" fillId="0" borderId="61" xfId="0" quotePrefix="1" applyFont="1" applyBorder="1" applyProtection="1"/>
    <xf numFmtId="0" fontId="3" fillId="0" borderId="21" xfId="0" applyFont="1" applyBorder="1" applyAlignment="1" applyProtection="1">
      <alignment horizontal="right"/>
    </xf>
    <xf numFmtId="1" fontId="7" fillId="3" borderId="22" xfId="0" applyNumberFormat="1" applyFont="1" applyFill="1" applyBorder="1" applyAlignment="1" applyProtection="1">
      <alignment horizontal="center"/>
      <protection locked="0"/>
    </xf>
    <xf numFmtId="0" fontId="3" fillId="0" borderId="67" xfId="0" quotePrefix="1" applyFont="1" applyBorder="1" applyProtection="1"/>
    <xf numFmtId="2" fontId="7" fillId="3" borderId="53" xfId="0" applyNumberFormat="1" applyFont="1" applyFill="1" applyBorder="1" applyAlignment="1" applyProtection="1">
      <alignment horizontal="center"/>
      <protection locked="0"/>
    </xf>
    <xf numFmtId="167" fontId="7" fillId="3" borderId="33" xfId="0" applyNumberFormat="1" applyFont="1" applyFill="1" applyBorder="1" applyAlignment="1" applyProtection="1">
      <alignment horizontal="center"/>
      <protection hidden="1"/>
    </xf>
    <xf numFmtId="0" fontId="7" fillId="6" borderId="0" xfId="0" applyFont="1" applyFill="1" applyAlignment="1" applyProtection="1">
      <alignment horizontal="center"/>
      <protection locked="0" hidden="1"/>
    </xf>
    <xf numFmtId="0" fontId="7" fillId="6" borderId="0" xfId="0" applyFont="1" applyFill="1" applyAlignment="1" applyProtection="1">
      <alignment horizontal="center"/>
      <protection hidden="1"/>
    </xf>
    <xf numFmtId="1" fontId="7" fillId="3" borderId="0" xfId="0" applyNumberFormat="1" applyFont="1" applyFill="1" applyAlignment="1" applyProtection="1">
      <alignment horizontal="center"/>
      <protection locked="0"/>
    </xf>
    <xf numFmtId="0" fontId="7" fillId="3" borderId="24" xfId="0" applyFont="1" applyFill="1" applyBorder="1" applyAlignment="1" applyProtection="1">
      <alignment horizontal="left"/>
      <protection hidden="1"/>
    </xf>
    <xf numFmtId="0" fontId="7" fillId="0" borderId="47" xfId="0" applyFont="1" applyBorder="1"/>
    <xf numFmtId="0" fontId="3" fillId="0" borderId="0" xfId="2" applyFont="1"/>
    <xf numFmtId="0" fontId="3" fillId="0" borderId="0" xfId="0" applyFont="1" applyAlignment="1">
      <alignment horizontal="left"/>
    </xf>
    <xf numFmtId="0" fontId="7" fillId="0" borderId="0" xfId="2" applyFont="1" applyAlignment="1">
      <alignment horizontal="right"/>
    </xf>
    <xf numFmtId="0" fontId="3" fillId="0" borderId="0" xfId="2" applyFont="1" applyAlignment="1">
      <alignment horizontal="left"/>
    </xf>
    <xf numFmtId="0" fontId="3" fillId="0" borderId="0" xfId="2" applyFont="1" applyAlignment="1">
      <alignment horizontal="right"/>
    </xf>
    <xf numFmtId="0" fontId="3" fillId="0" borderId="0" xfId="2" applyFont="1" applyAlignment="1">
      <alignment horizontal="right" vertical="center"/>
    </xf>
    <xf numFmtId="0" fontId="3" fillId="0" borderId="0" xfId="2" applyFont="1" applyAlignment="1">
      <alignment vertical="center"/>
    </xf>
    <xf numFmtId="0" fontId="3" fillId="0" borderId="10" xfId="2" applyFont="1" applyBorder="1"/>
    <xf numFmtId="0" fontId="3" fillId="0" borderId="11" xfId="2" applyFont="1" applyBorder="1"/>
    <xf numFmtId="0" fontId="3" fillId="0" borderId="49" xfId="2" applyFont="1" applyBorder="1"/>
    <xf numFmtId="0" fontId="3" fillId="0" borderId="24" xfId="2" applyFont="1" applyBorder="1" applyAlignment="1">
      <alignment horizontal="center" vertical="center"/>
    </xf>
    <xf numFmtId="0" fontId="3" fillId="0" borderId="14" xfId="2" applyFont="1" applyBorder="1"/>
    <xf numFmtId="0" fontId="3" fillId="0" borderId="9" xfId="2" applyFont="1" applyBorder="1"/>
    <xf numFmtId="0" fontId="3" fillId="0" borderId="52" xfId="2" applyFont="1" applyBorder="1"/>
    <xf numFmtId="0" fontId="3" fillId="0" borderId="38" xfId="2" applyFont="1" applyBorder="1" applyAlignment="1">
      <alignment horizontal="center" vertical="center"/>
    </xf>
    <xf numFmtId="0" fontId="3" fillId="0" borderId="28" xfId="2" applyFont="1" applyBorder="1" applyAlignment="1">
      <alignment vertical="center"/>
    </xf>
    <xf numFmtId="0" fontId="3" fillId="0" borderId="9" xfId="2" applyFont="1" applyBorder="1" applyAlignment="1">
      <alignment horizontal="center"/>
    </xf>
    <xf numFmtId="0" fontId="3" fillId="0" borderId="52" xfId="2" applyFont="1" applyBorder="1" applyAlignment="1">
      <alignment horizontal="center"/>
    </xf>
    <xf numFmtId="0" fontId="3" fillId="0" borderId="52" xfId="2" applyFont="1" applyBorder="1" applyAlignment="1">
      <alignment horizontal="right"/>
    </xf>
    <xf numFmtId="0" fontId="3" fillId="0" borderId="38" xfId="2" applyFont="1" applyBorder="1"/>
    <xf numFmtId="0" fontId="3" fillId="0" borderId="28" xfId="2" applyFont="1" applyBorder="1"/>
    <xf numFmtId="0" fontId="3" fillId="0" borderId="69" xfId="2" applyFont="1" applyBorder="1"/>
    <xf numFmtId="0" fontId="3" fillId="0" borderId="41" xfId="2" applyFont="1" applyBorder="1" applyAlignment="1">
      <alignment horizontal="center"/>
    </xf>
    <xf numFmtId="0" fontId="3" fillId="0" borderId="29" xfId="2" applyFont="1" applyBorder="1" applyAlignment="1">
      <alignment horizontal="center"/>
    </xf>
    <xf numFmtId="0" fontId="3" fillId="0" borderId="0" xfId="2" quotePrefix="1" applyFont="1" applyAlignment="1">
      <alignment horizontal="center" vertical="center"/>
    </xf>
    <xf numFmtId="1" fontId="3" fillId="6" borderId="53" xfId="2" applyNumberFormat="1" applyFont="1" applyFill="1" applyBorder="1" applyAlignment="1">
      <alignment horizontal="center" vertical="center"/>
    </xf>
    <xf numFmtId="0" fontId="3" fillId="0" borderId="2" xfId="2" applyFont="1" applyBorder="1" applyAlignment="1">
      <alignment horizontal="center" vertical="center"/>
    </xf>
    <xf numFmtId="0" fontId="3" fillId="0" borderId="2" xfId="2" applyFont="1" applyBorder="1" applyAlignment="1">
      <alignment vertical="center"/>
    </xf>
    <xf numFmtId="0" fontId="3" fillId="0" borderId="15" xfId="2" applyFont="1" applyBorder="1" applyAlignment="1">
      <alignment horizontal="center"/>
    </xf>
    <xf numFmtId="0" fontId="3" fillId="0" borderId="28" xfId="2" applyFont="1" applyBorder="1" applyAlignment="1">
      <alignment horizontal="center"/>
    </xf>
    <xf numFmtId="0" fontId="3" fillId="0" borderId="28" xfId="2" applyFont="1" applyBorder="1" applyAlignment="1">
      <alignment horizontal="center" vertical="center"/>
    </xf>
    <xf numFmtId="0" fontId="3" fillId="0" borderId="34" xfId="2" applyFont="1" applyBorder="1" applyAlignment="1">
      <alignment vertical="center"/>
    </xf>
    <xf numFmtId="0" fontId="3" fillId="0" borderId="42" xfId="2" applyFont="1" applyBorder="1"/>
    <xf numFmtId="0" fontId="3" fillId="0" borderId="35" xfId="2" applyFont="1" applyBorder="1"/>
    <xf numFmtId="0" fontId="3" fillId="0" borderId="0" xfId="2" quotePrefix="1" applyFont="1" applyAlignment="1">
      <alignment horizontal="center"/>
    </xf>
    <xf numFmtId="168" fontId="3" fillId="6" borderId="53" xfId="2" applyNumberFormat="1" applyFont="1" applyFill="1" applyBorder="1" applyAlignment="1">
      <alignment horizontal="center" vertical="center"/>
    </xf>
    <xf numFmtId="168" fontId="3" fillId="0" borderId="0" xfId="2" applyNumberFormat="1" applyFont="1" applyAlignment="1">
      <alignment vertical="center"/>
    </xf>
    <xf numFmtId="0" fontId="3" fillId="0" borderId="20" xfId="2" applyFont="1" applyBorder="1"/>
    <xf numFmtId="0" fontId="3" fillId="0" borderId="29" xfId="2" applyFont="1" applyBorder="1"/>
    <xf numFmtId="2" fontId="3" fillId="0" borderId="0" xfId="2" applyNumberFormat="1" applyFont="1" applyAlignment="1">
      <alignment horizontal="center"/>
    </xf>
    <xf numFmtId="1" fontId="3" fillId="0" borderId="9" xfId="2" applyNumberFormat="1" applyFont="1" applyBorder="1" applyAlignment="1">
      <alignment horizontal="center"/>
    </xf>
    <xf numFmtId="0" fontId="3" fillId="0" borderId="0" xfId="2" applyFont="1" applyAlignment="1">
      <alignment horizontal="center"/>
    </xf>
    <xf numFmtId="0" fontId="3" fillId="0" borderId="0" xfId="2" applyFont="1" applyAlignment="1">
      <alignment horizontal="center" vertical="center"/>
    </xf>
    <xf numFmtId="168" fontId="3" fillId="0" borderId="37" xfId="0" applyNumberFormat="1" applyFont="1" applyBorder="1" applyAlignment="1" applyProtection="1">
      <alignment horizontal="center"/>
    </xf>
    <xf numFmtId="168" fontId="7" fillId="3" borderId="36" xfId="0" applyNumberFormat="1" applyFont="1" applyFill="1" applyBorder="1" applyAlignment="1" applyProtection="1">
      <alignment horizontal="center"/>
      <protection locked="0"/>
    </xf>
    <xf numFmtId="168" fontId="7" fillId="3" borderId="39" xfId="0" applyNumberFormat="1" applyFont="1" applyFill="1" applyBorder="1" applyAlignment="1" applyProtection="1">
      <alignment horizontal="center"/>
      <protection locked="0"/>
    </xf>
    <xf numFmtId="165" fontId="3" fillId="0" borderId="24" xfId="0" applyNumberFormat="1" applyFont="1" applyBorder="1" applyAlignment="1" applyProtection="1">
      <alignment horizontal="center" vertical="center"/>
      <protection hidden="1"/>
    </xf>
    <xf numFmtId="164" fontId="7" fillId="8" borderId="37" xfId="1" applyNumberFormat="1" applyFont="1" applyFill="1" applyBorder="1" applyAlignment="1" applyProtection="1">
      <alignment horizontal="center"/>
      <protection locked="0"/>
    </xf>
    <xf numFmtId="164" fontId="7" fillId="8" borderId="36" xfId="1" applyNumberFormat="1" applyFont="1" applyFill="1" applyBorder="1" applyAlignment="1" applyProtection="1">
      <alignment horizontal="center"/>
      <protection locked="0"/>
    </xf>
    <xf numFmtId="164" fontId="7" fillId="8" borderId="39" xfId="1" applyNumberFormat="1" applyFont="1" applyFill="1" applyBorder="1" applyAlignment="1" applyProtection="1">
      <alignment horizontal="center"/>
      <protection locked="0"/>
    </xf>
    <xf numFmtId="164" fontId="18" fillId="0" borderId="0" xfId="0" applyNumberFormat="1" applyFont="1" applyBorder="1" applyAlignment="1" applyProtection="1">
      <alignment horizontal="center" vertical="center" wrapText="1"/>
    </xf>
    <xf numFmtId="172" fontId="18" fillId="0" borderId="0" xfId="0" applyNumberFormat="1"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164" fontId="8" fillId="0" borderId="0" xfId="0" applyNumberFormat="1" applyFont="1" applyBorder="1" applyAlignment="1" applyProtection="1">
      <alignment horizontal="center" vertical="center"/>
    </xf>
    <xf numFmtId="0" fontId="0" fillId="0" borderId="42" xfId="0" applyBorder="1" applyProtection="1"/>
    <xf numFmtId="0" fontId="0" fillId="0" borderId="35" xfId="0" applyBorder="1" applyProtection="1"/>
    <xf numFmtId="0" fontId="8" fillId="0" borderId="20" xfId="0" applyFont="1" applyFill="1" applyBorder="1" applyAlignment="1" applyProtection="1"/>
    <xf numFmtId="0" fontId="0" fillId="0" borderId="20" xfId="0" applyFill="1" applyBorder="1" applyProtection="1"/>
    <xf numFmtId="0" fontId="8" fillId="0" borderId="7" xfId="0" applyFont="1" applyBorder="1" applyAlignment="1" applyProtection="1"/>
    <xf numFmtId="164" fontId="8" fillId="0" borderId="7" xfId="0" applyNumberFormat="1" applyFont="1" applyBorder="1" applyAlignment="1" applyProtection="1"/>
    <xf numFmtId="0" fontId="8" fillId="0" borderId="23" xfId="0" applyFont="1" applyBorder="1" applyAlignment="1" applyProtection="1"/>
    <xf numFmtId="0" fontId="7" fillId="3" borderId="33" xfId="0"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hidden="1"/>
    </xf>
    <xf numFmtId="164" fontId="3" fillId="0" borderId="0" xfId="0" applyNumberFormat="1" applyFont="1" applyFill="1" applyBorder="1" applyAlignment="1" applyProtection="1">
      <alignment horizontal="center"/>
    </xf>
    <xf numFmtId="167" fontId="3" fillId="0" borderId="0" xfId="0" applyNumberFormat="1" applyFont="1" applyFill="1" applyBorder="1" applyAlignment="1" applyProtection="1">
      <alignment horizontal="center"/>
      <protection hidden="1"/>
    </xf>
    <xf numFmtId="0" fontId="3" fillId="0" borderId="54" xfId="0" applyFont="1" applyBorder="1" applyProtection="1"/>
    <xf numFmtId="0" fontId="7" fillId="0" borderId="9" xfId="0" applyFont="1" applyBorder="1" applyAlignment="1" applyProtection="1">
      <alignment horizontal="left"/>
    </xf>
    <xf numFmtId="0" fontId="7" fillId="0" borderId="52" xfId="0" applyFont="1" applyBorder="1" applyAlignment="1" applyProtection="1">
      <alignment horizontal="left"/>
    </xf>
    <xf numFmtId="0" fontId="7" fillId="0" borderId="54" xfId="0" applyFont="1" applyBorder="1" applyProtection="1"/>
    <xf numFmtId="164" fontId="3" fillId="0" borderId="9" xfId="0" applyNumberFormat="1" applyFont="1" applyBorder="1" applyAlignment="1" applyProtection="1">
      <alignment horizontal="left"/>
    </xf>
    <xf numFmtId="0" fontId="3" fillId="0" borderId="9" xfId="0" applyFont="1" applyBorder="1" applyAlignment="1" applyProtection="1">
      <alignment horizontal="left"/>
    </xf>
    <xf numFmtId="164" fontId="3" fillId="0" borderId="52" xfId="0" applyNumberFormat="1" applyFont="1" applyBorder="1" applyAlignment="1" applyProtection="1">
      <alignment horizontal="left"/>
    </xf>
    <xf numFmtId="0" fontId="3" fillId="0" borderId="0" xfId="0" applyFont="1" applyAlignment="1" applyProtection="1">
      <alignment vertical="top"/>
    </xf>
    <xf numFmtId="0" fontId="3" fillId="0" borderId="53" xfId="0" applyFont="1" applyBorder="1" applyAlignment="1" applyProtection="1">
      <alignment vertical="top"/>
    </xf>
    <xf numFmtId="0" fontId="3" fillId="0" borderId="53" xfId="0" applyFont="1" applyBorder="1" applyAlignment="1" applyProtection="1">
      <alignment vertical="top" wrapText="1"/>
    </xf>
    <xf numFmtId="0" fontId="3" fillId="0" borderId="53" xfId="0" applyFont="1" applyBorder="1" applyProtection="1"/>
    <xf numFmtId="0" fontId="3" fillId="0" borderId="22" xfId="0" applyFont="1" applyBorder="1" applyProtection="1"/>
    <xf numFmtId="0" fontId="3" fillId="0" borderId="17" xfId="0" applyFont="1" applyBorder="1" applyProtection="1"/>
    <xf numFmtId="168" fontId="3" fillId="0" borderId="17" xfId="0" applyNumberFormat="1" applyFont="1" applyBorder="1" applyProtection="1"/>
    <xf numFmtId="164" fontId="3" fillId="0" borderId="17" xfId="0" applyNumberFormat="1" applyFont="1" applyBorder="1" applyProtection="1"/>
    <xf numFmtId="164" fontId="3" fillId="0" borderId="53" xfId="0" applyNumberFormat="1" applyFont="1" applyBorder="1" applyProtection="1"/>
    <xf numFmtId="0" fontId="3" fillId="0" borderId="66" xfId="0" applyFont="1" applyBorder="1" applyProtection="1"/>
    <xf numFmtId="168" fontId="3" fillId="0" borderId="66" xfId="0" applyNumberFormat="1" applyFont="1" applyBorder="1" applyProtection="1"/>
    <xf numFmtId="164" fontId="3" fillId="0" borderId="66" xfId="0" applyNumberFormat="1" applyFont="1" applyBorder="1" applyProtection="1"/>
    <xf numFmtId="0" fontId="3" fillId="0" borderId="1" xfId="0" applyFont="1" applyBorder="1" applyProtection="1"/>
    <xf numFmtId="0" fontId="3" fillId="0" borderId="3" xfId="0" applyFont="1" applyBorder="1" applyProtection="1"/>
    <xf numFmtId="0" fontId="3" fillId="0" borderId="2" xfId="0" applyFont="1" applyBorder="1" applyProtection="1"/>
    <xf numFmtId="0" fontId="3" fillId="0" borderId="1" xfId="0" applyFont="1" applyBorder="1" applyAlignment="1" applyProtection="1">
      <alignment horizontal="centerContinuous"/>
    </xf>
    <xf numFmtId="0" fontId="3" fillId="0" borderId="2" xfId="0" applyFont="1" applyBorder="1" applyAlignment="1" applyProtection="1">
      <alignment horizontal="centerContinuous"/>
    </xf>
    <xf numFmtId="0" fontId="3" fillId="0" borderId="3" xfId="0" applyFont="1" applyBorder="1" applyAlignment="1" applyProtection="1">
      <alignment horizontal="centerContinuous"/>
    </xf>
    <xf numFmtId="0" fontId="3" fillId="0" borderId="4" xfId="0" applyFont="1" applyBorder="1" applyProtection="1"/>
    <xf numFmtId="0" fontId="3" fillId="0" borderId="5" xfId="0" applyFont="1" applyBorder="1" applyProtection="1"/>
    <xf numFmtId="2" fontId="3" fillId="0" borderId="4" xfId="0" applyNumberFormat="1" applyFont="1" applyBorder="1" applyProtection="1"/>
    <xf numFmtId="164" fontId="3" fillId="0" borderId="5" xfId="0" applyNumberFormat="1" applyFont="1" applyBorder="1" applyProtection="1"/>
    <xf numFmtId="167" fontId="3" fillId="0" borderId="17" xfId="0" applyNumberFormat="1" applyFont="1" applyBorder="1" applyProtection="1"/>
    <xf numFmtId="1" fontId="3" fillId="0" borderId="4" xfId="0" applyNumberFormat="1" applyFont="1" applyBorder="1" applyAlignment="1" applyProtection="1">
      <alignment horizontal="right"/>
    </xf>
    <xf numFmtId="1" fontId="3" fillId="0" borderId="5" xfId="0" applyNumberFormat="1" applyFont="1" applyBorder="1" applyAlignment="1" applyProtection="1">
      <alignment horizontal="right"/>
    </xf>
    <xf numFmtId="168" fontId="3" fillId="0" borderId="5" xfId="0" applyNumberFormat="1" applyFont="1" applyBorder="1" applyProtection="1"/>
    <xf numFmtId="1" fontId="3" fillId="0" borderId="4" xfId="0" applyNumberFormat="1" applyFont="1" applyBorder="1" applyProtection="1"/>
    <xf numFmtId="1" fontId="3" fillId="0" borderId="5" xfId="0" applyNumberFormat="1" applyFont="1" applyBorder="1" applyProtection="1"/>
    <xf numFmtId="164" fontId="3" fillId="0" borderId="4" xfId="0" applyNumberFormat="1" applyFont="1" applyBorder="1" applyProtection="1"/>
    <xf numFmtId="2" fontId="3" fillId="0" borderId="5" xfId="0" applyNumberFormat="1" applyFont="1" applyBorder="1" applyProtection="1"/>
    <xf numFmtId="164" fontId="3" fillId="0" borderId="0" xfId="0" applyNumberFormat="1" applyFont="1" applyProtection="1"/>
    <xf numFmtId="0" fontId="3" fillId="0" borderId="6" xfId="0" applyFont="1" applyBorder="1" applyProtection="1"/>
    <xf numFmtId="0" fontId="3" fillId="0" borderId="8" xfId="0" applyFont="1" applyBorder="1" applyProtection="1"/>
    <xf numFmtId="167" fontId="3" fillId="0" borderId="66" xfId="0" applyNumberFormat="1" applyFont="1" applyBorder="1" applyProtection="1"/>
    <xf numFmtId="168" fontId="3" fillId="0" borderId="8" xfId="0" applyNumberFormat="1" applyFont="1" applyBorder="1" applyProtection="1"/>
    <xf numFmtId="1" fontId="3" fillId="0" borderId="6" xfId="0" applyNumberFormat="1" applyFont="1" applyBorder="1" applyProtection="1"/>
    <xf numFmtId="1" fontId="3" fillId="0" borderId="8" xfId="0" applyNumberFormat="1" applyFont="1" applyBorder="1" applyProtection="1"/>
    <xf numFmtId="164" fontId="3" fillId="0" borderId="6" xfId="0" applyNumberFormat="1" applyFont="1" applyBorder="1" applyProtection="1"/>
    <xf numFmtId="164" fontId="3" fillId="0" borderId="7" xfId="0" applyNumberFormat="1" applyFont="1" applyBorder="1" applyProtection="1"/>
    <xf numFmtId="164" fontId="3" fillId="0" borderId="8" xfId="0" applyNumberFormat="1" applyFont="1" applyBorder="1" applyProtection="1"/>
    <xf numFmtId="0" fontId="3" fillId="0" borderId="7" xfId="0" applyFont="1" applyBorder="1" applyProtection="1"/>
    <xf numFmtId="168" fontId="3" fillId="0" borderId="0" xfId="0" applyNumberFormat="1" applyFont="1" applyBorder="1" applyProtection="1"/>
    <xf numFmtId="2" fontId="3" fillId="0" borderId="8" xfId="0" applyNumberFormat="1" applyFont="1" applyBorder="1" applyProtection="1"/>
    <xf numFmtId="0" fontId="3" fillId="0" borderId="34" xfId="0" applyFont="1" applyBorder="1" applyProtection="1"/>
    <xf numFmtId="2" fontId="3" fillId="0" borderId="42" xfId="0" applyNumberFormat="1" applyFont="1" applyBorder="1" applyAlignment="1" applyProtection="1">
      <alignment horizontal="left"/>
    </xf>
    <xf numFmtId="0" fontId="3" fillId="0" borderId="35" xfId="0" applyFont="1" applyBorder="1" applyProtection="1"/>
    <xf numFmtId="2" fontId="3" fillId="0" borderId="0" xfId="0" applyNumberFormat="1" applyFont="1" applyAlignment="1" applyProtection="1">
      <alignment horizontal="left"/>
    </xf>
    <xf numFmtId="168" fontId="3" fillId="0" borderId="24" xfId="0" applyNumberFormat="1" applyFont="1" applyBorder="1" applyProtection="1"/>
    <xf numFmtId="0" fontId="3" fillId="0" borderId="20" xfId="0" applyFont="1" applyBorder="1" applyProtection="1"/>
    <xf numFmtId="168" fontId="3" fillId="0" borderId="20" xfId="0" applyNumberFormat="1" applyFont="1" applyBorder="1" applyProtection="1"/>
    <xf numFmtId="2" fontId="3" fillId="0" borderId="20" xfId="0" applyNumberFormat="1" applyFont="1" applyBorder="1" applyProtection="1"/>
    <xf numFmtId="168" fontId="3" fillId="0" borderId="34" xfId="0" applyNumberFormat="1" applyFont="1" applyBorder="1" applyProtection="1"/>
    <xf numFmtId="0" fontId="3" fillId="0" borderId="38" xfId="0" applyFont="1" applyBorder="1" applyProtection="1"/>
    <xf numFmtId="0" fontId="3" fillId="0" borderId="29" xfId="0" applyFont="1" applyBorder="1" applyProtection="1"/>
    <xf numFmtId="168" fontId="3" fillId="0" borderId="42" xfId="0" applyNumberFormat="1" applyFont="1" applyBorder="1" applyProtection="1"/>
    <xf numFmtId="170" fontId="3" fillId="0" borderId="42" xfId="0" applyNumberFormat="1" applyFont="1" applyBorder="1" applyProtection="1"/>
    <xf numFmtId="0" fontId="3" fillId="0" borderId="0" xfId="0" applyFont="1" applyAlignment="1" applyProtection="1">
      <alignment horizontal="right"/>
    </xf>
    <xf numFmtId="170" fontId="3" fillId="0" borderId="0" xfId="0" applyNumberFormat="1" applyFont="1" applyProtection="1"/>
    <xf numFmtId="168" fontId="3" fillId="0" borderId="38" xfId="0" applyNumberFormat="1" applyFont="1" applyBorder="1" applyProtection="1"/>
    <xf numFmtId="168" fontId="3" fillId="0" borderId="28" xfId="0" applyNumberFormat="1" applyFont="1" applyBorder="1" applyProtection="1"/>
    <xf numFmtId="170" fontId="3" fillId="0" borderId="28" xfId="0" applyNumberFormat="1" applyFont="1" applyBorder="1" applyProtection="1"/>
    <xf numFmtId="0" fontId="3" fillId="3" borderId="33" xfId="0" applyFont="1" applyFill="1" applyBorder="1" applyProtection="1">
      <protection locked="0"/>
    </xf>
    <xf numFmtId="0" fontId="3" fillId="0" borderId="37"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8" xfId="0"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167" fontId="3" fillId="0" borderId="38" xfId="0" applyNumberFormat="1"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4" xfId="0" applyFont="1" applyBorder="1" applyAlignment="1" applyProtection="1">
      <alignment horizontal="center" vertical="center"/>
    </xf>
    <xf numFmtId="0" fontId="3" fillId="0" borderId="24" xfId="0" applyFont="1" applyBorder="1" applyAlignment="1" applyProtection="1">
      <alignment horizontal="center" vertical="center" wrapText="1"/>
    </xf>
    <xf numFmtId="0" fontId="7" fillId="9" borderId="30" xfId="0" applyFont="1" applyFill="1" applyBorder="1" applyAlignment="1" applyProtection="1">
      <alignment horizontal="center" vertical="center"/>
    </xf>
    <xf numFmtId="0" fontId="7" fillId="9" borderId="32" xfId="0" applyFont="1" applyFill="1" applyBorder="1" applyAlignment="1" applyProtection="1">
      <alignment horizontal="center" vertical="center"/>
    </xf>
    <xf numFmtId="0" fontId="7" fillId="9" borderId="31" xfId="0" applyFont="1" applyFill="1" applyBorder="1" applyAlignment="1" applyProtection="1">
      <alignment horizontal="center" vertical="center"/>
    </xf>
    <xf numFmtId="0" fontId="3" fillId="0" borderId="28" xfId="0" applyFont="1" applyFill="1" applyBorder="1" applyAlignment="1" applyProtection="1">
      <alignment horizontal="center" vertical="center"/>
      <protection hidden="1"/>
    </xf>
    <xf numFmtId="0" fontId="3" fillId="0" borderId="34" xfId="0" applyFont="1" applyFill="1" applyBorder="1" applyAlignment="1" applyProtection="1">
      <alignment horizontal="center" vertical="center"/>
      <protection hidden="1"/>
    </xf>
    <xf numFmtId="0" fontId="3" fillId="0" borderId="35"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67" fontId="3" fillId="0" borderId="34"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7" fillId="9" borderId="30" xfId="0" applyFont="1" applyFill="1" applyBorder="1" applyAlignment="1" applyProtection="1">
      <alignment horizontal="left"/>
      <protection hidden="1"/>
    </xf>
    <xf numFmtId="0" fontId="7" fillId="9" borderId="32" xfId="0" applyFont="1" applyFill="1" applyBorder="1" applyAlignment="1" applyProtection="1">
      <alignment horizontal="left"/>
      <protection hidden="1"/>
    </xf>
    <xf numFmtId="0" fontId="7" fillId="9" borderId="31" xfId="0" applyFont="1" applyFill="1" applyBorder="1" applyAlignment="1" applyProtection="1">
      <alignment horizontal="left"/>
      <protection hidden="1"/>
    </xf>
    <xf numFmtId="0" fontId="7" fillId="6" borderId="24" xfId="0" applyFont="1" applyFill="1" applyBorder="1" applyAlignment="1" applyProtection="1">
      <alignment horizontal="center"/>
      <protection locked="0"/>
    </xf>
    <xf numFmtId="0" fontId="7" fillId="6" borderId="0" xfId="0" applyFont="1" applyFill="1" applyAlignment="1" applyProtection="1">
      <alignment horizontal="center"/>
      <protection locked="0"/>
    </xf>
    <xf numFmtId="0" fontId="7" fillId="6" borderId="20" xfId="0" applyFont="1" applyFill="1" applyBorder="1" applyAlignment="1" applyProtection="1">
      <alignment horizontal="center"/>
      <protection locked="0"/>
    </xf>
    <xf numFmtId="0" fontId="7" fillId="6" borderId="38" xfId="0" applyFont="1" applyFill="1" applyBorder="1" applyAlignment="1" applyProtection="1">
      <alignment horizontal="center"/>
      <protection locked="0"/>
    </xf>
    <xf numFmtId="0" fontId="7" fillId="6" borderId="28" xfId="0" applyFont="1" applyFill="1" applyBorder="1" applyAlignment="1" applyProtection="1">
      <alignment horizontal="center"/>
      <protection locked="0"/>
    </xf>
    <xf numFmtId="0" fontId="7" fillId="6" borderId="29" xfId="0" applyFont="1" applyFill="1" applyBorder="1" applyAlignment="1" applyProtection="1">
      <alignment horizontal="center"/>
      <protection locked="0"/>
    </xf>
    <xf numFmtId="0" fontId="7" fillId="9" borderId="30" xfId="0" applyFont="1" applyFill="1" applyBorder="1" applyAlignment="1" applyProtection="1">
      <alignment horizontal="left" vertical="top"/>
      <protection hidden="1"/>
    </xf>
    <xf numFmtId="0" fontId="7" fillId="9" borderId="32" xfId="0" applyFont="1" applyFill="1" applyBorder="1" applyAlignment="1" applyProtection="1">
      <alignment horizontal="left" vertical="top"/>
      <protection hidden="1"/>
    </xf>
    <xf numFmtId="0" fontId="11" fillId="0" borderId="30"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wrapText="1"/>
      <protection hidden="1"/>
    </xf>
    <xf numFmtId="0" fontId="3" fillId="0" borderId="30" xfId="0" applyFont="1" applyBorder="1" applyAlignment="1" applyProtection="1">
      <alignment horizontal="center" vertical="center" wrapText="1"/>
      <protection hidden="1"/>
    </xf>
    <xf numFmtId="0" fontId="3" fillId="0" borderId="32"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7" fillId="9" borderId="30" xfId="0" applyFont="1" applyFill="1" applyBorder="1" applyAlignment="1" applyProtection="1">
      <alignment horizontal="center"/>
      <protection hidden="1"/>
    </xf>
    <xf numFmtId="0" fontId="7" fillId="9" borderId="77" xfId="0" applyFont="1" applyFill="1" applyBorder="1" applyAlignment="1" applyProtection="1">
      <alignment horizontal="center"/>
      <protection hidden="1"/>
    </xf>
    <xf numFmtId="0" fontId="7" fillId="9" borderId="30" xfId="0" applyFont="1" applyFill="1" applyBorder="1" applyAlignment="1" applyProtection="1">
      <alignment horizontal="center" vertical="top"/>
      <protection hidden="1"/>
    </xf>
    <xf numFmtId="0" fontId="7" fillId="9" borderId="32" xfId="0" applyFont="1" applyFill="1" applyBorder="1" applyAlignment="1" applyProtection="1">
      <alignment horizontal="center" vertical="top"/>
      <protection hidden="1"/>
    </xf>
    <xf numFmtId="0" fontId="7" fillId="9" borderId="31" xfId="0" applyFont="1" applyFill="1" applyBorder="1" applyAlignment="1" applyProtection="1">
      <alignment horizontal="center" vertical="top"/>
      <protection hidden="1"/>
    </xf>
    <xf numFmtId="0" fontId="7" fillId="3" borderId="19" xfId="0" applyFont="1" applyFill="1" applyBorder="1" applyAlignment="1" applyProtection="1">
      <alignment horizontal="left"/>
      <protection locked="0"/>
    </xf>
    <xf numFmtId="0" fontId="7" fillId="3" borderId="7" xfId="0" applyFont="1" applyFill="1" applyBorder="1" applyAlignment="1" applyProtection="1">
      <alignment horizontal="left"/>
      <protection locked="0"/>
    </xf>
    <xf numFmtId="0" fontId="7" fillId="3" borderId="8"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0" fontId="7" fillId="3" borderId="23" xfId="0" applyFont="1" applyFill="1" applyBorder="1" applyAlignment="1" applyProtection="1">
      <alignment horizontal="left"/>
      <protection locked="0"/>
    </xf>
    <xf numFmtId="0" fontId="8" fillId="0" borderId="21" xfId="0" applyFont="1" applyBorder="1" applyAlignment="1" applyProtection="1">
      <alignment horizontal="left"/>
      <protection hidden="1"/>
    </xf>
    <xf numFmtId="0" fontId="8" fillId="0" borderId="22" xfId="0" applyFont="1" applyBorder="1" applyAlignment="1" applyProtection="1">
      <alignment horizontal="left"/>
      <protection hidden="1"/>
    </xf>
    <xf numFmtId="0" fontId="8" fillId="0" borderId="1" xfId="0" applyFont="1" applyBorder="1" applyAlignment="1" applyProtection="1">
      <alignment horizontal="left"/>
      <protection hidden="1"/>
    </xf>
    <xf numFmtId="0" fontId="8" fillId="0" borderId="2" xfId="0" applyFont="1" applyBorder="1" applyAlignment="1" applyProtection="1">
      <alignment horizontal="left"/>
      <protection hidden="1"/>
    </xf>
    <xf numFmtId="0" fontId="8" fillId="0" borderId="18" xfId="0" applyFont="1" applyBorder="1" applyAlignment="1" applyProtection="1">
      <alignment horizontal="left"/>
      <protection hidden="1"/>
    </xf>
    <xf numFmtId="0" fontId="3" fillId="0" borderId="3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7" fillId="6" borderId="34" xfId="0" applyFont="1" applyFill="1" applyBorder="1" applyAlignment="1" applyProtection="1">
      <alignment horizontal="center"/>
      <protection locked="0"/>
    </xf>
    <xf numFmtId="0" fontId="7" fillId="6" borderId="42" xfId="0" applyFont="1" applyFill="1" applyBorder="1" applyAlignment="1" applyProtection="1">
      <alignment horizontal="center"/>
      <protection locked="0"/>
    </xf>
    <xf numFmtId="0" fontId="7" fillId="6" borderId="35" xfId="0" applyFont="1" applyFill="1" applyBorder="1" applyAlignment="1" applyProtection="1">
      <alignment horizontal="center"/>
      <protection locked="0"/>
    </xf>
    <xf numFmtId="0" fontId="7" fillId="3" borderId="25" xfId="0" applyFont="1" applyFill="1" applyBorder="1" applyAlignment="1" applyProtection="1">
      <alignment horizontal="left"/>
      <protection locked="0"/>
    </xf>
    <xf numFmtId="0" fontId="7" fillId="3" borderId="26" xfId="0" applyFont="1" applyFill="1" applyBorder="1" applyAlignment="1" applyProtection="1">
      <alignment horizontal="left"/>
      <protection locked="0"/>
    </xf>
    <xf numFmtId="0" fontId="7" fillId="3" borderId="27" xfId="0" applyFont="1" applyFill="1" applyBorder="1" applyAlignment="1" applyProtection="1">
      <alignment horizontal="left"/>
      <protection locked="0"/>
    </xf>
    <xf numFmtId="0" fontId="7" fillId="3" borderId="28" xfId="0" applyFont="1" applyFill="1" applyBorder="1" applyAlignment="1" applyProtection="1">
      <alignment horizontal="left"/>
      <protection locked="0"/>
    </xf>
    <xf numFmtId="0" fontId="7" fillId="3" borderId="29" xfId="0" applyFont="1" applyFill="1" applyBorder="1" applyAlignment="1" applyProtection="1">
      <alignment horizontal="left"/>
      <protection locked="0"/>
    </xf>
    <xf numFmtId="0" fontId="18" fillId="0" borderId="24" xfId="0" applyFont="1" applyBorder="1" applyAlignment="1" applyProtection="1">
      <alignment horizontal="right" vertical="center" wrapText="1"/>
      <protection hidden="1"/>
    </xf>
    <xf numFmtId="0" fontId="18" fillId="0" borderId="0" xfId="0" applyFont="1" applyBorder="1" applyAlignment="1" applyProtection="1">
      <alignment horizontal="right" vertical="center" wrapText="1"/>
      <protection hidden="1"/>
    </xf>
    <xf numFmtId="0" fontId="3" fillId="0" borderId="19" xfId="0" applyFont="1" applyFill="1" applyBorder="1" applyAlignment="1" applyProtection="1">
      <alignment horizontal="left"/>
      <protection hidden="1"/>
    </xf>
    <xf numFmtId="0" fontId="3" fillId="0" borderId="7" xfId="0" applyFont="1" applyFill="1" applyBorder="1" applyAlignment="1" applyProtection="1">
      <alignment horizontal="left"/>
      <protection hidden="1"/>
    </xf>
    <xf numFmtId="0" fontId="3" fillId="0" borderId="9" xfId="0" applyFont="1" applyFill="1" applyBorder="1" applyAlignment="1" applyProtection="1">
      <alignment horizontal="left"/>
      <protection hidden="1"/>
    </xf>
    <xf numFmtId="0" fontId="3" fillId="0" borderId="15" xfId="0" applyFont="1" applyFill="1" applyBorder="1" applyAlignment="1" applyProtection="1">
      <alignment horizontal="left"/>
      <protection hidden="1"/>
    </xf>
    <xf numFmtId="0" fontId="8" fillId="0" borderId="16" xfId="0" applyFont="1" applyBorder="1" applyAlignment="1" applyProtection="1">
      <alignment horizontal="left"/>
      <protection hidden="1"/>
    </xf>
    <xf numFmtId="0" fontId="8" fillId="0" borderId="17" xfId="0" applyFont="1" applyBorder="1" applyAlignment="1" applyProtection="1">
      <alignment horizontal="left"/>
      <protection hidden="1"/>
    </xf>
    <xf numFmtId="0" fontId="8" fillId="0" borderId="4" xfId="0" applyFont="1" applyBorder="1" applyAlignment="1" applyProtection="1">
      <alignment horizontal="left"/>
      <protection hidden="1"/>
    </xf>
    <xf numFmtId="0" fontId="8" fillId="0" borderId="0" xfId="0" applyFont="1" applyBorder="1" applyAlignment="1" applyProtection="1">
      <alignment horizontal="left"/>
      <protection hidden="1"/>
    </xf>
    <xf numFmtId="0" fontId="7" fillId="3" borderId="4" xfId="0" applyFont="1" applyFill="1" applyBorder="1" applyAlignment="1" applyProtection="1">
      <alignment horizontal="left"/>
      <protection locked="0"/>
    </xf>
    <xf numFmtId="0" fontId="7" fillId="3" borderId="0" xfId="0" applyFont="1" applyFill="1" applyBorder="1" applyAlignment="1" applyProtection="1">
      <alignment horizontal="left"/>
      <protection locked="0"/>
    </xf>
    <xf numFmtId="0" fontId="7" fillId="3" borderId="4" xfId="0" applyFont="1" applyFill="1" applyBorder="1" applyAlignment="1" applyProtection="1">
      <protection locked="0"/>
    </xf>
    <xf numFmtId="0" fontId="7" fillId="3" borderId="20" xfId="0" applyFont="1" applyFill="1" applyBorder="1" applyAlignment="1" applyProtection="1">
      <protection locked="0"/>
    </xf>
    <xf numFmtId="0" fontId="3" fillId="0" borderId="0" xfId="0" applyFont="1" applyFill="1" applyBorder="1" applyAlignment="1" applyProtection="1">
      <alignment horizontal="center" wrapText="1"/>
    </xf>
    <xf numFmtId="0" fontId="7" fillId="3" borderId="38" xfId="0"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3" fillId="0" borderId="32" xfId="0" applyFont="1" applyBorder="1" applyAlignment="1" applyProtection="1">
      <alignment horizontal="center"/>
    </xf>
    <xf numFmtId="0" fontId="7" fillId="3" borderId="30" xfId="0" applyFont="1" applyFill="1" applyBorder="1" applyAlignment="1" applyProtection="1">
      <alignment horizontal="center"/>
      <protection locked="0"/>
    </xf>
    <xf numFmtId="0" fontId="7" fillId="3" borderId="32" xfId="0" applyFont="1" applyFill="1" applyBorder="1" applyAlignment="1" applyProtection="1">
      <alignment horizontal="center"/>
      <protection locked="0"/>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49" fontId="7" fillId="9" borderId="30" xfId="0" applyNumberFormat="1" applyFont="1" applyFill="1" applyBorder="1" applyAlignment="1" applyProtection="1">
      <alignment horizontal="center" vertical="center"/>
    </xf>
    <xf numFmtId="49" fontId="7" fillId="9" borderId="32" xfId="0" applyNumberFormat="1" applyFont="1" applyFill="1" applyBorder="1" applyAlignment="1" applyProtection="1">
      <alignment horizontal="center" vertical="center"/>
    </xf>
    <xf numFmtId="0" fontId="18" fillId="0" borderId="24" xfId="0" applyFont="1" applyBorder="1" applyAlignment="1" applyProtection="1">
      <alignment horizontal="left" wrapText="1"/>
    </xf>
    <xf numFmtId="0" fontId="18" fillId="0" borderId="0" xfId="0" applyFont="1" applyBorder="1" applyAlignment="1" applyProtection="1">
      <alignment horizontal="left" wrapText="1"/>
    </xf>
    <xf numFmtId="0" fontId="7" fillId="0" borderId="0" xfId="0" applyFont="1" applyFill="1" applyBorder="1" applyAlignment="1" applyProtection="1">
      <alignment horizontal="center" wrapText="1"/>
    </xf>
    <xf numFmtId="0" fontId="11" fillId="0" borderId="0" xfId="0" applyFont="1" applyAlignment="1" applyProtection="1">
      <alignment horizontal="center" wrapText="1"/>
    </xf>
    <xf numFmtId="0" fontId="8" fillId="0" borderId="21" xfId="0" applyFont="1" applyFill="1" applyBorder="1" applyAlignment="1" applyProtection="1">
      <alignment horizontal="left"/>
    </xf>
    <xf numFmtId="0" fontId="8" fillId="0" borderId="22" xfId="0" applyFont="1" applyFill="1" applyBorder="1" applyAlignment="1" applyProtection="1">
      <alignment horizontal="left"/>
    </xf>
    <xf numFmtId="0" fontId="8" fillId="0" borderId="1" xfId="0" applyFont="1" applyFill="1" applyBorder="1" applyAlignment="1" applyProtection="1">
      <alignment horizontal="left"/>
    </xf>
    <xf numFmtId="0" fontId="8" fillId="0" borderId="2" xfId="0" applyFont="1" applyFill="1" applyBorder="1" applyAlignment="1" applyProtection="1">
      <alignment horizontal="left"/>
    </xf>
    <xf numFmtId="0" fontId="8" fillId="0" borderId="18" xfId="0" applyFont="1" applyFill="1" applyBorder="1" applyAlignment="1" applyProtection="1">
      <alignment horizontal="left"/>
    </xf>
    <xf numFmtId="0" fontId="7" fillId="0" borderId="25" xfId="0" applyFont="1" applyFill="1" applyBorder="1" applyAlignment="1" applyProtection="1">
      <alignment horizontal="left"/>
    </xf>
    <xf numFmtId="0" fontId="7" fillId="0" borderId="26" xfId="0" applyFont="1" applyFill="1" applyBorder="1" applyAlignment="1" applyProtection="1">
      <alignment horizontal="left"/>
    </xf>
    <xf numFmtId="0" fontId="7" fillId="0" borderId="27"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29" xfId="0" applyFont="1" applyFill="1" applyBorder="1" applyAlignment="1" applyProtection="1">
      <alignment horizontal="left"/>
    </xf>
    <xf numFmtId="0" fontId="7" fillId="9" borderId="30" xfId="0" applyFont="1" applyFill="1" applyBorder="1" applyAlignment="1" applyProtection="1">
      <alignment horizontal="left"/>
    </xf>
    <xf numFmtId="0" fontId="7" fillId="9" borderId="32" xfId="0" applyFont="1" applyFill="1" applyBorder="1" applyAlignment="1" applyProtection="1">
      <alignment horizontal="left"/>
    </xf>
    <xf numFmtId="0" fontId="7" fillId="9" borderId="31" xfId="0" applyFont="1" applyFill="1" applyBorder="1" applyAlignment="1" applyProtection="1">
      <alignment horizontal="left"/>
    </xf>
    <xf numFmtId="0" fontId="3" fillId="0" borderId="19" xfId="0" applyFont="1" applyFill="1" applyBorder="1" applyAlignment="1" applyProtection="1">
      <alignment horizontal="left"/>
    </xf>
    <xf numFmtId="0" fontId="3" fillId="0" borderId="7" xfId="0" applyFont="1" applyFill="1" applyBorder="1" applyAlignment="1" applyProtection="1">
      <alignment horizontal="left"/>
    </xf>
    <xf numFmtId="0" fontId="3" fillId="0" borderId="9" xfId="0" applyFont="1" applyFill="1" applyBorder="1" applyAlignment="1" applyProtection="1">
      <alignment horizontal="left"/>
    </xf>
    <xf numFmtId="0" fontId="3" fillId="0" borderId="15" xfId="0" applyFont="1" applyFill="1" applyBorder="1" applyAlignment="1" applyProtection="1">
      <alignment horizontal="left"/>
    </xf>
    <xf numFmtId="0" fontId="8" fillId="0" borderId="16" xfId="0" applyFont="1" applyBorder="1" applyAlignment="1" applyProtection="1">
      <alignment horizontal="left"/>
    </xf>
    <xf numFmtId="0" fontId="8" fillId="0" borderId="17" xfId="0" applyFont="1" applyBorder="1" applyAlignment="1" applyProtection="1">
      <alignment horizontal="left"/>
    </xf>
    <xf numFmtId="0" fontId="8" fillId="0" borderId="4" xfId="0" applyFont="1" applyBorder="1" applyAlignment="1" applyProtection="1">
      <alignment horizontal="left"/>
    </xf>
    <xf numFmtId="0" fontId="8" fillId="0" borderId="0" xfId="0" applyFont="1" applyBorder="1" applyAlignment="1" applyProtection="1">
      <alignment horizontal="left"/>
    </xf>
    <xf numFmtId="0" fontId="8" fillId="0" borderId="1" xfId="0" applyFont="1" applyBorder="1" applyAlignment="1" applyProtection="1">
      <alignment horizontal="left"/>
    </xf>
    <xf numFmtId="0" fontId="8" fillId="0" borderId="18" xfId="0" applyFont="1" applyBorder="1" applyAlignment="1" applyProtection="1">
      <alignment horizontal="left"/>
    </xf>
    <xf numFmtId="0" fontId="7" fillId="0" borderId="19" xfId="0" applyFont="1" applyFill="1" applyBorder="1" applyAlignment="1" applyProtection="1">
      <alignment horizontal="left"/>
    </xf>
    <xf numFmtId="0" fontId="7" fillId="0" borderId="7" xfId="0" applyFont="1" applyFill="1" applyBorder="1" applyAlignment="1" applyProtection="1">
      <alignment horizontal="left"/>
    </xf>
    <xf numFmtId="0" fontId="7" fillId="0" borderId="8" xfId="0" applyFont="1" applyFill="1" applyBorder="1" applyAlignment="1" applyProtection="1">
      <alignment horizontal="left"/>
    </xf>
    <xf numFmtId="0" fontId="7" fillId="0" borderId="6" xfId="0" applyFont="1" applyFill="1" applyBorder="1" applyAlignment="1" applyProtection="1">
      <alignment horizontal="left"/>
    </xf>
    <xf numFmtId="0" fontId="7" fillId="0" borderId="23" xfId="0" applyFont="1" applyFill="1" applyBorder="1" applyAlignment="1" applyProtection="1">
      <alignment horizontal="left"/>
    </xf>
    <xf numFmtId="0" fontId="7" fillId="0" borderId="4"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20" xfId="0" applyFont="1" applyFill="1" applyBorder="1" applyAlignment="1" applyProtection="1">
      <alignment horizontal="left"/>
    </xf>
    <xf numFmtId="0" fontId="3" fillId="0" borderId="38" xfId="0" applyFont="1" applyBorder="1" applyAlignment="1" applyProtection="1">
      <alignment horizontal="right" vertical="center"/>
    </xf>
    <xf numFmtId="0" fontId="3" fillId="0" borderId="29" xfId="0" applyFont="1" applyBorder="1" applyAlignment="1" applyProtection="1">
      <alignment horizontal="right" vertical="center"/>
    </xf>
    <xf numFmtId="49" fontId="3" fillId="0" borderId="37" xfId="0" applyNumberFormat="1" applyFont="1" applyBorder="1" applyAlignment="1" applyProtection="1">
      <alignment horizontal="left" vertical="center"/>
    </xf>
    <xf numFmtId="49" fontId="3" fillId="0" borderId="36" xfId="0" applyNumberFormat="1" applyFont="1" applyBorder="1" applyAlignment="1" applyProtection="1">
      <alignment horizontal="left" vertical="center"/>
    </xf>
    <xf numFmtId="0" fontId="3" fillId="0" borderId="37" xfId="0" applyFont="1" applyBorder="1" applyAlignment="1" applyProtection="1">
      <alignment horizontal="center" vertical="center"/>
    </xf>
    <xf numFmtId="0" fontId="3" fillId="0" borderId="36" xfId="0" applyFont="1" applyBorder="1" applyAlignment="1" applyProtection="1">
      <alignment horizontal="center" vertical="center"/>
    </xf>
    <xf numFmtId="0" fontId="18" fillId="0" borderId="0" xfId="0" applyFont="1" applyBorder="1" applyAlignment="1" applyProtection="1">
      <alignment horizontal="center" vertical="center" wrapText="1"/>
    </xf>
    <xf numFmtId="164" fontId="18" fillId="0" borderId="0" xfId="0" applyNumberFormat="1" applyFont="1" applyBorder="1" applyAlignment="1" applyProtection="1">
      <alignment horizontal="center" vertical="center" wrapText="1"/>
    </xf>
    <xf numFmtId="172" fontId="18" fillId="0" borderId="0" xfId="0" applyNumberFormat="1" applyFont="1" applyBorder="1" applyAlignment="1" applyProtection="1">
      <alignment horizontal="center"/>
    </xf>
    <xf numFmtId="0" fontId="3" fillId="0" borderId="4" xfId="0" applyFont="1" applyFill="1" applyBorder="1" applyAlignment="1" applyProtection="1">
      <alignment horizontal="left"/>
    </xf>
    <xf numFmtId="0" fontId="3" fillId="0" borderId="20" xfId="0" applyFont="1" applyFill="1" applyBorder="1" applyAlignment="1" applyProtection="1">
      <alignment horizontal="left"/>
    </xf>
    <xf numFmtId="0" fontId="7" fillId="9" borderId="34" xfId="2" applyFont="1" applyFill="1" applyBorder="1" applyAlignment="1">
      <alignment horizontal="left"/>
    </xf>
    <xf numFmtId="0" fontId="7" fillId="9" borderId="42" xfId="2" applyFont="1" applyFill="1" applyBorder="1" applyAlignment="1">
      <alignment horizontal="left"/>
    </xf>
    <xf numFmtId="0" fontId="7" fillId="9" borderId="46" xfId="2" applyFont="1" applyFill="1" applyBorder="1" applyAlignment="1">
      <alignment horizontal="left"/>
    </xf>
    <xf numFmtId="172" fontId="7" fillId="0" borderId="12" xfId="0" applyNumberFormat="1" applyFont="1" applyBorder="1" applyAlignment="1">
      <alignment horizontal="left"/>
    </xf>
    <xf numFmtId="172" fontId="7" fillId="0" borderId="13" xfId="0" applyNumberFormat="1" applyFont="1" applyBorder="1" applyAlignment="1">
      <alignment horizontal="left"/>
    </xf>
    <xf numFmtId="0" fontId="8" fillId="0" borderId="21" xfId="0" applyFont="1" applyBorder="1" applyAlignment="1">
      <alignment horizontal="left"/>
    </xf>
    <xf numFmtId="0" fontId="8" fillId="0" borderId="22" xfId="0" applyFont="1" applyBorder="1" applyAlignment="1">
      <alignment horizontal="left"/>
    </xf>
    <xf numFmtId="0" fontId="8" fillId="0" borderId="67" xfId="0" applyFont="1" applyBorder="1" applyAlignment="1">
      <alignment horizontal="left"/>
    </xf>
    <xf numFmtId="0" fontId="8" fillId="0" borderId="68" xfId="0" applyFont="1" applyBorder="1" applyAlignment="1">
      <alignment horizontal="left"/>
    </xf>
    <xf numFmtId="0" fontId="8" fillId="0" borderId="2"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left"/>
    </xf>
    <xf numFmtId="0" fontId="8" fillId="0" borderId="18" xfId="0" applyFont="1" applyBorder="1" applyAlignment="1">
      <alignment horizontal="left"/>
    </xf>
    <xf numFmtId="0" fontId="7" fillId="0" borderId="19"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left"/>
    </xf>
    <xf numFmtId="0" fontId="7" fillId="0" borderId="8" xfId="0" applyFont="1" applyBorder="1" applyAlignment="1">
      <alignment horizontal="left"/>
    </xf>
    <xf numFmtId="0" fontId="7" fillId="0" borderId="23" xfId="0" applyFont="1" applyBorder="1" applyAlignment="1">
      <alignment horizontal="left"/>
    </xf>
    <xf numFmtId="0" fontId="8" fillId="0" borderId="16" xfId="0" applyFont="1" applyBorder="1" applyAlignment="1">
      <alignment horizontal="left"/>
    </xf>
    <xf numFmtId="0" fontId="8" fillId="0" borderId="17" xfId="0" applyFont="1" applyBorder="1" applyAlignment="1">
      <alignment horizontal="left"/>
    </xf>
    <xf numFmtId="0" fontId="8" fillId="0" borderId="4"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7" fillId="0" borderId="25" xfId="0" applyFont="1" applyBorder="1" applyAlignment="1">
      <alignment horizontal="left"/>
    </xf>
    <xf numFmtId="0" fontId="7" fillId="0" borderId="26" xfId="0" applyFont="1" applyBorder="1" applyAlignment="1">
      <alignment horizontal="left"/>
    </xf>
    <xf numFmtId="0" fontId="7" fillId="0" borderId="27" xfId="0" applyFont="1" applyBorder="1" applyAlignment="1">
      <alignment horizontal="left"/>
    </xf>
    <xf numFmtId="0" fontId="7" fillId="0" borderId="28" xfId="0" applyFont="1" applyBorder="1" applyAlignment="1">
      <alignment horizontal="left"/>
    </xf>
    <xf numFmtId="0" fontId="7" fillId="0" borderId="29" xfId="0" applyFont="1" applyBorder="1" applyAlignment="1">
      <alignment horizontal="left"/>
    </xf>
    <xf numFmtId="0" fontId="11" fillId="0" borderId="28" xfId="2" applyFont="1" applyBorder="1" applyAlignment="1">
      <alignment horizontal="center" vertical="center" wrapText="1"/>
    </xf>
    <xf numFmtId="0" fontId="3" fillId="0" borderId="59" xfId="2" applyFont="1" applyBorder="1" applyAlignment="1">
      <alignment horizontal="left"/>
    </xf>
    <xf numFmtId="0" fontId="3" fillId="0" borderId="12" xfId="2" applyFont="1" applyBorder="1" applyAlignment="1">
      <alignment horizontal="left"/>
    </xf>
    <xf numFmtId="0" fontId="3" fillId="3" borderId="50" xfId="2" applyFont="1" applyFill="1" applyBorder="1" applyAlignment="1" applyProtection="1">
      <alignment horizontal="center" vertical="center"/>
      <protection locked="0"/>
    </xf>
    <xf numFmtId="0" fontId="3" fillId="3" borderId="11" xfId="2" applyFont="1" applyFill="1" applyBorder="1" applyAlignment="1" applyProtection="1">
      <alignment horizontal="center" vertical="center"/>
      <protection locked="0"/>
    </xf>
    <xf numFmtId="0" fontId="3" fillId="3" borderId="41" xfId="2"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3" fillId="0" borderId="60" xfId="2" applyFont="1" applyBorder="1" applyAlignment="1">
      <alignment horizontal="left"/>
    </xf>
    <xf numFmtId="0" fontId="3" fillId="0" borderId="53" xfId="2" applyFont="1" applyBorder="1" applyAlignment="1">
      <alignment horizontal="left"/>
    </xf>
    <xf numFmtId="0" fontId="3" fillId="3" borderId="53" xfId="2" applyFont="1" applyFill="1" applyBorder="1" applyAlignment="1" applyProtection="1">
      <alignment horizontal="center" vertical="center"/>
      <protection locked="0"/>
    </xf>
    <xf numFmtId="0" fontId="3" fillId="3" borderId="61" xfId="2" applyFont="1" applyFill="1" applyBorder="1" applyAlignment="1" applyProtection="1">
      <alignment horizontal="center" vertical="center"/>
      <protection locked="0"/>
    </xf>
    <xf numFmtId="164" fontId="18" fillId="0" borderId="0" xfId="0" applyNumberFormat="1" applyFont="1" applyAlignment="1">
      <alignment horizontal="center" vertical="center" wrapText="1"/>
    </xf>
    <xf numFmtId="0" fontId="3" fillId="0" borderId="53" xfId="2" applyFont="1" applyBorder="1" applyAlignment="1">
      <alignment horizontal="center" vertical="center"/>
    </xf>
    <xf numFmtId="0" fontId="3" fillId="0" borderId="61" xfId="2" applyFont="1" applyBorder="1" applyAlignment="1">
      <alignment horizontal="center" vertical="center"/>
    </xf>
    <xf numFmtId="172" fontId="18" fillId="0" borderId="0" xfId="0" applyNumberFormat="1" applyFont="1" applyAlignment="1">
      <alignment horizontal="center" vertical="center" wrapText="1"/>
    </xf>
    <xf numFmtId="0" fontId="3" fillId="0" borderId="62" xfId="2" applyFont="1" applyBorder="1" applyAlignment="1">
      <alignment horizontal="left"/>
    </xf>
    <xf numFmtId="0" fontId="3" fillId="0" borderId="57" xfId="2" applyFont="1" applyBorder="1" applyAlignment="1">
      <alignment horizontal="left"/>
    </xf>
    <xf numFmtId="0" fontId="3" fillId="0" borderId="57" xfId="2" applyFont="1" applyBorder="1" applyAlignment="1">
      <alignment horizontal="center" vertical="center"/>
    </xf>
    <xf numFmtId="0" fontId="3" fillId="0" borderId="63" xfId="2" applyFont="1" applyBorder="1" applyAlignment="1">
      <alignment horizontal="center" vertical="center"/>
    </xf>
    <xf numFmtId="0" fontId="3" fillId="0" borderId="72" xfId="2" applyFont="1" applyBorder="1" applyAlignment="1">
      <alignment horizontal="center" vertical="center"/>
    </xf>
    <xf numFmtId="0" fontId="3" fillId="0" borderId="73" xfId="2" applyFont="1" applyBorder="1" applyAlignment="1">
      <alignment horizontal="center" vertical="center"/>
    </xf>
    <xf numFmtId="0" fontId="3" fillId="0" borderId="75" xfId="2" applyFont="1" applyBorder="1" applyAlignment="1">
      <alignment horizontal="center" vertical="center"/>
    </xf>
    <xf numFmtId="2" fontId="3" fillId="3" borderId="6" xfId="2" applyNumberFormat="1" applyFont="1" applyFill="1" applyBorder="1" applyAlignment="1" applyProtection="1">
      <alignment horizontal="center" vertical="center"/>
      <protection locked="0"/>
    </xf>
    <xf numFmtId="2" fontId="3" fillId="3" borderId="8" xfId="2" applyNumberFormat="1" applyFont="1" applyFill="1" applyBorder="1" applyAlignment="1" applyProtection="1">
      <alignment horizontal="center" vertical="center"/>
      <protection locked="0"/>
    </xf>
    <xf numFmtId="2" fontId="3" fillId="3" borderId="23" xfId="2" applyNumberFormat="1" applyFont="1" applyFill="1" applyBorder="1" applyAlignment="1" applyProtection="1">
      <alignment horizontal="center" vertical="center"/>
      <protection locked="0"/>
    </xf>
    <xf numFmtId="2" fontId="3" fillId="3" borderId="54" xfId="2" applyNumberFormat="1" applyFont="1" applyFill="1" applyBorder="1" applyAlignment="1" applyProtection="1">
      <alignment horizontal="center" vertical="center"/>
      <protection locked="0"/>
    </xf>
    <xf numFmtId="2" fontId="3" fillId="3" borderId="52" xfId="2" applyNumberFormat="1" applyFont="1" applyFill="1" applyBorder="1" applyAlignment="1" applyProtection="1">
      <alignment horizontal="center" vertical="center"/>
      <protection locked="0"/>
    </xf>
    <xf numFmtId="2" fontId="3" fillId="0" borderId="54" xfId="2" applyNumberFormat="1" applyFont="1" applyBorder="1" applyAlignment="1" applyProtection="1">
      <alignment horizontal="center" vertical="center"/>
      <protection locked="0"/>
    </xf>
    <xf numFmtId="2" fontId="3" fillId="0" borderId="52" xfId="2" applyNumberFormat="1" applyFont="1" applyBorder="1" applyAlignment="1" applyProtection="1">
      <alignment horizontal="center" vertical="center"/>
      <protection locked="0"/>
    </xf>
    <xf numFmtId="2" fontId="3" fillId="0" borderId="15" xfId="2" applyNumberFormat="1" applyFont="1" applyBorder="1" applyAlignment="1" applyProtection="1">
      <alignment horizontal="center" vertical="center"/>
      <protection locked="0"/>
    </xf>
    <xf numFmtId="0" fontId="3" fillId="0" borderId="54" xfId="2" applyFont="1" applyBorder="1" applyAlignment="1">
      <alignment horizontal="center" vertical="center"/>
    </xf>
    <xf numFmtId="0" fontId="3" fillId="0" borderId="52" xfId="2" applyFont="1" applyBorder="1" applyAlignment="1">
      <alignment horizontal="center" vertical="center"/>
    </xf>
    <xf numFmtId="2" fontId="3" fillId="0" borderId="54" xfId="2" applyNumberFormat="1" applyFont="1" applyBorder="1" applyAlignment="1">
      <alignment horizontal="center" vertical="center"/>
    </xf>
    <xf numFmtId="171" fontId="3" fillId="3" borderId="54" xfId="2" applyNumberFormat="1" applyFont="1" applyFill="1" applyBorder="1" applyAlignment="1" applyProtection="1">
      <alignment horizontal="center" vertical="center"/>
      <protection locked="0"/>
    </xf>
    <xf numFmtId="171" fontId="3" fillId="3" borderId="52" xfId="2" applyNumberFormat="1" applyFont="1" applyFill="1" applyBorder="1" applyAlignment="1" applyProtection="1">
      <alignment horizontal="center" vertical="center"/>
      <protection locked="0"/>
    </xf>
    <xf numFmtId="171" fontId="3" fillId="0" borderId="54" xfId="2" applyNumberFormat="1" applyFont="1" applyBorder="1" applyAlignment="1">
      <alignment horizontal="center" vertical="center"/>
    </xf>
    <xf numFmtId="0" fontId="3" fillId="0" borderId="50" xfId="2" applyFont="1" applyBorder="1" applyAlignment="1">
      <alignment horizontal="center" vertical="center"/>
    </xf>
    <xf numFmtId="0" fontId="3" fillId="0" borderId="41" xfId="2" applyFont="1" applyBorder="1" applyAlignment="1">
      <alignment horizontal="center" vertical="center"/>
    </xf>
    <xf numFmtId="164" fontId="3" fillId="0" borderId="54" xfId="2" applyNumberFormat="1" applyFont="1" applyBorder="1" applyAlignment="1">
      <alignment horizontal="center" vertical="center"/>
    </xf>
    <xf numFmtId="164" fontId="3" fillId="0" borderId="52" xfId="2" applyNumberFormat="1" applyFont="1" applyBorder="1" applyAlignment="1">
      <alignment horizontal="center" vertical="center"/>
    </xf>
    <xf numFmtId="164" fontId="3" fillId="0" borderId="15" xfId="2" applyNumberFormat="1" applyFont="1" applyBorder="1" applyAlignment="1">
      <alignment horizontal="center" vertical="center"/>
    </xf>
    <xf numFmtId="0" fontId="3" fillId="0" borderId="24" xfId="2" applyFont="1" applyBorder="1" applyAlignment="1">
      <alignment horizontal="right"/>
    </xf>
    <xf numFmtId="0" fontId="3" fillId="0" borderId="0" xfId="2" applyFont="1" applyAlignment="1">
      <alignment horizontal="right"/>
    </xf>
    <xf numFmtId="168" fontId="3" fillId="0" borderId="54" xfId="2" applyNumberFormat="1" applyFont="1" applyBorder="1" applyAlignment="1">
      <alignment horizontal="center" vertical="center"/>
    </xf>
    <xf numFmtId="168" fontId="3" fillId="0" borderId="52" xfId="2" applyNumberFormat="1" applyFont="1" applyBorder="1" applyAlignment="1">
      <alignment horizontal="center" vertical="center"/>
    </xf>
    <xf numFmtId="0" fontId="3" fillId="0" borderId="15" xfId="2" applyFont="1" applyBorder="1" applyAlignment="1">
      <alignment horizontal="center" vertical="center"/>
    </xf>
    <xf numFmtId="1" fontId="3" fillId="0" borderId="58" xfId="2" applyNumberFormat="1" applyFont="1" applyBorder="1" applyAlignment="1">
      <alignment horizontal="center" vertical="center"/>
    </xf>
    <xf numFmtId="1" fontId="3" fillId="0" borderId="56" xfId="2" applyNumberFormat="1" applyFont="1" applyBorder="1" applyAlignment="1">
      <alignment horizontal="center" vertical="center"/>
    </xf>
    <xf numFmtId="1" fontId="3" fillId="0" borderId="45" xfId="2" applyNumberFormat="1" applyFont="1" applyBorder="1" applyAlignment="1">
      <alignment horizontal="center" vertical="center"/>
    </xf>
    <xf numFmtId="0" fontId="3" fillId="0" borderId="34" xfId="2" applyFont="1" applyBorder="1" applyAlignment="1">
      <alignment horizontal="right"/>
    </xf>
    <xf numFmtId="0" fontId="3" fillId="0" borderId="42" xfId="2" applyFont="1" applyBorder="1" applyAlignment="1">
      <alignment horizontal="right"/>
    </xf>
    <xf numFmtId="0" fontId="19" fillId="0" borderId="38" xfId="2" applyFont="1" applyBorder="1" applyAlignment="1">
      <alignment horizontal="center"/>
    </xf>
    <xf numFmtId="0" fontId="19" fillId="0" borderId="28" xfId="2" applyFont="1" applyBorder="1" applyAlignment="1">
      <alignment horizontal="center"/>
    </xf>
    <xf numFmtId="0" fontId="3" fillId="0" borderId="34" xfId="2" applyFont="1" applyBorder="1" applyAlignment="1">
      <alignment horizontal="center" vertical="center"/>
    </xf>
    <xf numFmtId="0" fontId="3" fillId="0" borderId="42" xfId="2" applyFont="1" applyBorder="1" applyAlignment="1">
      <alignment horizontal="center" vertical="center"/>
    </xf>
    <xf numFmtId="0" fontId="3" fillId="0" borderId="24" xfId="2" applyFont="1" applyBorder="1" applyAlignment="1">
      <alignment horizontal="center" vertical="center"/>
    </xf>
    <xf numFmtId="0" fontId="3" fillId="0" borderId="0" xfId="2" applyFont="1" applyAlignment="1">
      <alignment horizontal="center" vertical="center"/>
    </xf>
    <xf numFmtId="0" fontId="3" fillId="0" borderId="11" xfId="2" applyFont="1" applyBorder="1" applyAlignment="1">
      <alignment horizontal="center" vertical="center"/>
    </xf>
    <xf numFmtId="0" fontId="19" fillId="0" borderId="38" xfId="2" applyFont="1" applyBorder="1" applyAlignment="1">
      <alignment horizontal="center" vertical="top"/>
    </xf>
    <xf numFmtId="0" fontId="19" fillId="0" borderId="28" xfId="2" applyFont="1" applyBorder="1" applyAlignment="1">
      <alignment horizontal="center" vertical="top"/>
    </xf>
    <xf numFmtId="0" fontId="3" fillId="0" borderId="38" xfId="2" applyFont="1" applyBorder="1" applyAlignment="1">
      <alignment horizontal="right"/>
    </xf>
    <xf numFmtId="0" fontId="3" fillId="0" borderId="28" xfId="2" applyFont="1" applyBorder="1" applyAlignment="1">
      <alignment horizontal="right"/>
    </xf>
    <xf numFmtId="0" fontId="3" fillId="0" borderId="34" xfId="2" applyFont="1" applyBorder="1" applyAlignment="1">
      <alignment horizontal="center"/>
    </xf>
    <xf numFmtId="0" fontId="3" fillId="0" borderId="42" xfId="2" applyFont="1" applyBorder="1" applyAlignment="1">
      <alignment horizontal="center"/>
    </xf>
    <xf numFmtId="0" fontId="3" fillId="0" borderId="28" xfId="2" applyFont="1" applyBorder="1" applyAlignment="1">
      <alignment horizontal="center" vertical="center"/>
    </xf>
    <xf numFmtId="168" fontId="7" fillId="0" borderId="34" xfId="2" applyNumberFormat="1" applyFont="1" applyBorder="1" applyAlignment="1">
      <alignment horizontal="center" vertical="center"/>
    </xf>
    <xf numFmtId="168" fontId="7" fillId="0" borderId="42" xfId="2" applyNumberFormat="1" applyFont="1" applyBorder="1" applyAlignment="1">
      <alignment horizontal="center" vertical="center"/>
    </xf>
    <xf numFmtId="168" fontId="7" fillId="0" borderId="35" xfId="2" applyNumberFormat="1" applyFont="1" applyBorder="1" applyAlignment="1">
      <alignment horizontal="center" vertical="center"/>
    </xf>
    <xf numFmtId="168" fontId="7" fillId="0" borderId="24" xfId="2" applyNumberFormat="1" applyFont="1" applyBorder="1" applyAlignment="1">
      <alignment horizontal="center" vertical="center"/>
    </xf>
    <xf numFmtId="168" fontId="7" fillId="0" borderId="0" xfId="2" applyNumberFormat="1" applyFont="1" applyAlignment="1">
      <alignment horizontal="center" vertical="center"/>
    </xf>
    <xf numFmtId="168" fontId="7" fillId="0" borderId="20" xfId="2" applyNumberFormat="1" applyFont="1" applyBorder="1" applyAlignment="1">
      <alignment horizontal="center" vertical="center"/>
    </xf>
    <xf numFmtId="168" fontId="7" fillId="0" borderId="38" xfId="2" applyNumberFormat="1" applyFont="1" applyBorder="1" applyAlignment="1">
      <alignment horizontal="center" vertical="center"/>
    </xf>
    <xf numFmtId="168" fontId="7" fillId="0" borderId="28" xfId="2" applyNumberFormat="1" applyFont="1" applyBorder="1" applyAlignment="1">
      <alignment horizontal="center" vertical="center"/>
    </xf>
    <xf numFmtId="168" fontId="7" fillId="0" borderId="29" xfId="2" applyNumberFormat="1" applyFont="1" applyBorder="1" applyAlignment="1">
      <alignment horizontal="center" vertical="center"/>
    </xf>
    <xf numFmtId="0" fontId="19" fillId="0" borderId="24" xfId="2" applyFont="1" applyBorder="1" applyAlignment="1">
      <alignment horizontal="center" vertical="top"/>
    </xf>
    <xf numFmtId="0" fontId="19" fillId="0" borderId="0" xfId="2" applyFont="1" applyAlignment="1">
      <alignment horizontal="center" vertical="top"/>
    </xf>
    <xf numFmtId="0" fontId="3" fillId="0" borderId="11" xfId="2" applyFont="1" applyBorder="1" applyAlignment="1">
      <alignment horizontal="center"/>
    </xf>
    <xf numFmtId="1" fontId="7" fillId="0" borderId="34" xfId="2" applyNumberFormat="1" applyFont="1" applyBorder="1" applyAlignment="1">
      <alignment horizontal="center" vertical="center"/>
    </xf>
    <xf numFmtId="0" fontId="7" fillId="0" borderId="35" xfId="2" applyFont="1" applyBorder="1" applyAlignment="1">
      <alignment horizontal="center" vertical="center"/>
    </xf>
    <xf numFmtId="0" fontId="7" fillId="0" borderId="38" xfId="2" applyFont="1" applyBorder="1" applyAlignment="1">
      <alignment horizontal="center" vertical="center"/>
    </xf>
    <xf numFmtId="0" fontId="7" fillId="0" borderId="29" xfId="2" applyFont="1" applyBorder="1" applyAlignment="1">
      <alignment horizontal="center" vertical="center"/>
    </xf>
    <xf numFmtId="0" fontId="3" fillId="0" borderId="28" xfId="2" applyFont="1" applyBorder="1" applyAlignment="1">
      <alignment horizontal="center"/>
    </xf>
    <xf numFmtId="0" fontId="3" fillId="0" borderId="30"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xf>
    <xf numFmtId="1" fontId="7" fillId="0" borderId="0" xfId="0" applyNumberFormat="1" applyFont="1" applyBorder="1" applyAlignment="1" applyProtection="1">
      <alignment horizontal="center" vertical="center"/>
    </xf>
    <xf numFmtId="0" fontId="3" fillId="0" borderId="73"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167" fontId="3" fillId="0" borderId="50" xfId="0" applyNumberFormat="1" applyFont="1" applyBorder="1" applyAlignment="1" applyProtection="1">
      <alignment horizontal="center" vertical="center" wrapText="1"/>
    </xf>
    <xf numFmtId="167" fontId="3" fillId="0" borderId="49" xfId="0" applyNumberFormat="1" applyFont="1" applyBorder="1" applyAlignment="1" applyProtection="1">
      <alignment horizontal="center" vertical="center" wrapText="1"/>
    </xf>
    <xf numFmtId="167" fontId="3" fillId="0" borderId="58" xfId="0" applyNumberFormat="1" applyFont="1" applyBorder="1" applyAlignment="1" applyProtection="1">
      <alignment horizontal="center" vertical="center"/>
    </xf>
    <xf numFmtId="167" fontId="3" fillId="0" borderId="56" xfId="0" applyNumberFormat="1" applyFont="1" applyBorder="1" applyAlignment="1" applyProtection="1">
      <alignment horizontal="center" vertical="center"/>
    </xf>
    <xf numFmtId="0" fontId="24" fillId="5" borderId="68" xfId="0" applyFont="1" applyFill="1" applyBorder="1" applyAlignment="1" applyProtection="1">
      <alignment horizontal="left"/>
    </xf>
    <xf numFmtId="0" fontId="24" fillId="5" borderId="2" xfId="0" applyFont="1" applyFill="1" applyBorder="1" applyAlignment="1" applyProtection="1">
      <alignment horizontal="left"/>
    </xf>
    <xf numFmtId="0" fontId="24" fillId="5" borderId="18" xfId="0" applyFont="1" applyFill="1" applyBorder="1" applyAlignment="1" applyProtection="1">
      <alignment horizontal="left"/>
    </xf>
    <xf numFmtId="0" fontId="8" fillId="0" borderId="37"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xf>
    <xf numFmtId="164" fontId="8" fillId="0" borderId="37" xfId="0" applyNumberFormat="1" applyFont="1" applyFill="1" applyBorder="1" applyAlignment="1" applyProtection="1">
      <alignment horizontal="center" vertical="center" wrapText="1"/>
    </xf>
    <xf numFmtId="164" fontId="8" fillId="0" borderId="36" xfId="0" applyNumberFormat="1" applyFont="1" applyFill="1" applyBorder="1" applyAlignment="1" applyProtection="1">
      <alignment horizontal="center" vertical="center" wrapText="1"/>
    </xf>
    <xf numFmtId="1" fontId="7" fillId="0" borderId="37" xfId="0" applyNumberFormat="1" applyFont="1" applyBorder="1" applyAlignment="1" applyProtection="1">
      <alignment horizontal="center" vertical="center"/>
    </xf>
    <xf numFmtId="1" fontId="7" fillId="0" borderId="39" xfId="0" applyNumberFormat="1" applyFont="1" applyBorder="1" applyAlignment="1" applyProtection="1">
      <alignment horizontal="center" vertical="center"/>
    </xf>
    <xf numFmtId="0" fontId="8" fillId="2" borderId="30" xfId="0" applyFont="1" applyFill="1" applyBorder="1" applyAlignment="1" applyProtection="1">
      <alignment horizontal="center"/>
    </xf>
    <xf numFmtId="0" fontId="8" fillId="2" borderId="32" xfId="0" applyFont="1" applyFill="1" applyBorder="1" applyAlignment="1" applyProtection="1">
      <alignment horizontal="center"/>
    </xf>
    <xf numFmtId="0" fontId="8" fillId="2" borderId="31" xfId="0" applyFont="1" applyFill="1" applyBorder="1" applyAlignment="1" applyProtection="1">
      <alignment horizontal="center"/>
    </xf>
    <xf numFmtId="0" fontId="7" fillId="0" borderId="70" xfId="0" applyFont="1" applyBorder="1" applyAlignment="1" applyProtection="1">
      <alignment horizontal="left"/>
    </xf>
    <xf numFmtId="0" fontId="7" fillId="0" borderId="66" xfId="0" applyFont="1" applyBorder="1" applyAlignment="1" applyProtection="1">
      <alignment horizontal="left"/>
    </xf>
    <xf numFmtId="0" fontId="7" fillId="0" borderId="71" xfId="0" applyFont="1" applyBorder="1" applyAlignment="1" applyProtection="1">
      <alignment horizontal="left"/>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8" fillId="0" borderId="67" xfId="0" applyFont="1" applyBorder="1" applyAlignment="1" applyProtection="1">
      <alignment horizontal="left"/>
    </xf>
    <xf numFmtId="0" fontId="7" fillId="0" borderId="25" xfId="0" applyFont="1" applyBorder="1" applyAlignment="1" applyProtection="1">
      <alignment horizontal="left"/>
    </xf>
    <xf numFmtId="0" fontId="7" fillId="0" borderId="26" xfId="0" applyFont="1" applyBorder="1" applyAlignment="1" applyProtection="1">
      <alignment horizontal="left"/>
    </xf>
    <xf numFmtId="0" fontId="7" fillId="0" borderId="64" xfId="0" applyFont="1" applyBorder="1" applyAlignment="1" applyProtection="1">
      <alignment horizontal="left"/>
    </xf>
    <xf numFmtId="0" fontId="7" fillId="0" borderId="19" xfId="0" applyFont="1" applyBorder="1" applyAlignment="1" applyProtection="1">
      <alignment horizontal="left"/>
    </xf>
    <xf numFmtId="0" fontId="7" fillId="0" borderId="8" xfId="0" applyFont="1" applyBorder="1" applyAlignment="1" applyProtection="1">
      <alignment horizontal="left"/>
    </xf>
    <xf numFmtId="0" fontId="7" fillId="0" borderId="6" xfId="0" applyFont="1" applyBorder="1" applyAlignment="1" applyProtection="1">
      <alignment horizontal="left"/>
    </xf>
    <xf numFmtId="0" fontId="7" fillId="0" borderId="23" xfId="0" applyFont="1" applyBorder="1" applyAlignment="1" applyProtection="1">
      <alignment horizontal="left"/>
    </xf>
    <xf numFmtId="0" fontId="7" fillId="0" borderId="59" xfId="0" applyFont="1" applyBorder="1" applyAlignment="1" applyProtection="1">
      <alignment horizontal="left"/>
    </xf>
    <xf numFmtId="0" fontId="7" fillId="0" borderId="12" xfId="0" applyFont="1" applyBorder="1" applyAlignment="1" applyProtection="1">
      <alignment horizontal="left"/>
    </xf>
    <xf numFmtId="0" fontId="7" fillId="0" borderId="13" xfId="0" applyFont="1" applyBorder="1" applyAlignment="1" applyProtection="1">
      <alignment horizontal="left"/>
    </xf>
    <xf numFmtId="0" fontId="24" fillId="5" borderId="14" xfId="0" applyFont="1" applyFill="1" applyBorder="1" applyAlignment="1" applyProtection="1">
      <alignment horizontal="left"/>
    </xf>
    <xf numFmtId="0" fontId="24" fillId="5" borderId="9" xfId="0" applyFont="1" applyFill="1" applyBorder="1" applyAlignment="1" applyProtection="1">
      <alignment horizontal="left"/>
    </xf>
    <xf numFmtId="0" fontId="24" fillId="5" borderId="15" xfId="0" applyFont="1" applyFill="1" applyBorder="1" applyAlignment="1" applyProtection="1">
      <alignment horizontal="left"/>
    </xf>
    <xf numFmtId="0" fontId="8" fillId="0" borderId="34" xfId="0" applyFont="1" applyBorder="1" applyAlignment="1" applyProtection="1">
      <alignment horizontal="left"/>
    </xf>
    <xf numFmtId="0" fontId="8" fillId="0" borderId="42" xfId="0" applyFont="1" applyBorder="1" applyAlignment="1" applyProtection="1">
      <alignment horizontal="left"/>
    </xf>
    <xf numFmtId="0" fontId="8" fillId="0" borderId="48" xfId="0" applyFont="1" applyBorder="1" applyAlignment="1" applyProtection="1">
      <alignment horizontal="left"/>
    </xf>
    <xf numFmtId="0" fontId="8" fillId="0" borderId="35" xfId="0" applyFont="1" applyBorder="1" applyAlignment="1" applyProtection="1">
      <alignment horizontal="left"/>
    </xf>
    <xf numFmtId="0" fontId="3" fillId="3" borderId="19" xfId="0" applyFont="1" applyFill="1" applyBorder="1" applyAlignment="1" applyProtection="1">
      <alignment horizontal="left"/>
      <protection locked="0"/>
    </xf>
    <xf numFmtId="0" fontId="3" fillId="3" borderId="7" xfId="0" applyFont="1" applyFill="1" applyBorder="1" applyAlignment="1" applyProtection="1">
      <alignment horizontal="left"/>
      <protection locked="0"/>
    </xf>
    <xf numFmtId="0" fontId="3" fillId="3" borderId="8" xfId="0" applyFont="1" applyFill="1" applyBorder="1" applyAlignment="1" applyProtection="1">
      <alignment horizontal="left"/>
      <protection locked="0"/>
    </xf>
    <xf numFmtId="0" fontId="3" fillId="3" borderId="6" xfId="0" applyFont="1" applyFill="1" applyBorder="1" applyAlignment="1" applyProtection="1">
      <alignment horizontal="left"/>
      <protection locked="0"/>
    </xf>
    <xf numFmtId="0" fontId="3" fillId="3" borderId="23" xfId="0" applyFont="1" applyFill="1" applyBorder="1" applyAlignment="1" applyProtection="1">
      <alignment horizontal="left"/>
      <protection locked="0"/>
    </xf>
    <xf numFmtId="0" fontId="8" fillId="0" borderId="68" xfId="0" applyFont="1" applyBorder="1" applyAlignment="1" applyProtection="1">
      <alignment horizontal="left"/>
    </xf>
    <xf numFmtId="0" fontId="8" fillId="0" borderId="2" xfId="0" applyFont="1" applyBorder="1" applyAlignment="1" applyProtection="1">
      <alignment horizontal="left"/>
    </xf>
    <xf numFmtId="0" fontId="3" fillId="3" borderId="25" xfId="0" applyFont="1" applyFill="1" applyBorder="1" applyAlignment="1" applyProtection="1">
      <alignment horizontal="left"/>
      <protection locked="0"/>
    </xf>
    <xf numFmtId="0" fontId="3" fillId="3" borderId="26" xfId="0" applyFont="1" applyFill="1" applyBorder="1" applyAlignment="1" applyProtection="1">
      <alignment horizontal="left"/>
      <protection locked="0"/>
    </xf>
    <xf numFmtId="0" fontId="3" fillId="3" borderId="27" xfId="0" applyFont="1" applyFill="1" applyBorder="1" applyAlignment="1" applyProtection="1">
      <alignment horizontal="left"/>
      <protection locked="0"/>
    </xf>
    <xf numFmtId="0" fontId="3" fillId="3" borderId="69" xfId="0" applyFont="1" applyFill="1" applyBorder="1" applyAlignment="1" applyProtection="1">
      <alignment horizontal="left"/>
      <protection locked="0"/>
    </xf>
    <xf numFmtId="0" fontId="3" fillId="3" borderId="64" xfId="0" applyFont="1" applyFill="1" applyBorder="1" applyAlignment="1" applyProtection="1">
      <alignment horizontal="left"/>
      <protection locked="0"/>
    </xf>
    <xf numFmtId="0" fontId="4" fillId="0" borderId="68" xfId="0" applyFont="1" applyBorder="1" applyAlignment="1" applyProtection="1">
      <alignment horizontal="left" wrapText="1"/>
    </xf>
    <xf numFmtId="0" fontId="4" fillId="0" borderId="2" xfId="0" applyFont="1" applyBorder="1" applyAlignment="1" applyProtection="1">
      <alignment horizontal="left" wrapText="1"/>
    </xf>
    <xf numFmtId="0" fontId="4" fillId="0" borderId="18" xfId="0" applyFont="1" applyBorder="1" applyAlignment="1" applyProtection="1">
      <alignment horizontal="left" wrapText="1"/>
    </xf>
    <xf numFmtId="0" fontId="8" fillId="0" borderId="3" xfId="0" applyFont="1" applyBorder="1" applyAlignment="1" applyProtection="1">
      <alignment horizontal="left"/>
    </xf>
    <xf numFmtId="0" fontId="3" fillId="3" borderId="24" xfId="0" applyFont="1" applyFill="1" applyBorder="1" applyAlignment="1" applyProtection="1">
      <alignment horizontal="left"/>
      <protection locked="0"/>
    </xf>
    <xf numFmtId="0" fontId="3" fillId="3" borderId="0"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40" fillId="3" borderId="4" xfId="0" applyFont="1" applyFill="1" applyBorder="1" applyAlignment="1" applyProtection="1">
      <alignment horizontal="center"/>
      <protection locked="0"/>
    </xf>
    <xf numFmtId="0" fontId="40" fillId="3" borderId="0" xfId="0" applyFont="1" applyFill="1" applyBorder="1" applyAlignment="1" applyProtection="1">
      <alignment horizontal="center"/>
      <protection locked="0"/>
    </xf>
    <xf numFmtId="0" fontId="40" fillId="3" borderId="5" xfId="0" applyFont="1" applyFill="1" applyBorder="1" applyAlignment="1" applyProtection="1">
      <alignment horizontal="center"/>
      <protection locked="0"/>
    </xf>
    <xf numFmtId="14" fontId="3" fillId="3" borderId="4" xfId="0" applyNumberFormat="1" applyFont="1" applyFill="1" applyBorder="1" applyAlignment="1" applyProtection="1">
      <alignment horizontal="left"/>
      <protection locked="0"/>
    </xf>
    <xf numFmtId="14" fontId="3" fillId="3" borderId="20" xfId="0" applyNumberFormat="1" applyFont="1" applyFill="1" applyBorder="1" applyAlignment="1" applyProtection="1">
      <alignment horizontal="left"/>
      <protection locked="0"/>
    </xf>
    <xf numFmtId="0" fontId="3" fillId="3" borderId="70" xfId="0" applyFont="1" applyFill="1" applyBorder="1" applyAlignment="1" applyProtection="1">
      <alignment horizontal="left"/>
      <protection locked="0"/>
    </xf>
    <xf numFmtId="0" fontId="3" fillId="3" borderId="66" xfId="0" applyFont="1" applyFill="1" applyBorder="1" applyAlignment="1" applyProtection="1">
      <alignment horizontal="left"/>
      <protection locked="0"/>
    </xf>
    <xf numFmtId="0" fontId="3" fillId="3" borderId="71" xfId="0" applyFont="1" applyFill="1" applyBorder="1" applyAlignment="1" applyProtection="1">
      <alignment horizontal="left"/>
      <protection locked="0"/>
    </xf>
    <xf numFmtId="0" fontId="40" fillId="3" borderId="6" xfId="0" applyFont="1" applyFill="1" applyBorder="1" applyAlignment="1" applyProtection="1">
      <alignment horizontal="left"/>
      <protection locked="0"/>
    </xf>
    <xf numFmtId="0" fontId="40" fillId="3" borderId="8" xfId="0" applyFont="1" applyFill="1" applyBorder="1" applyAlignment="1" applyProtection="1">
      <alignment horizontal="left"/>
      <protection locked="0"/>
    </xf>
    <xf numFmtId="14" fontId="3" fillId="3" borderId="6" xfId="0" applyNumberFormat="1" applyFont="1" applyFill="1" applyBorder="1" applyAlignment="1" applyProtection="1">
      <alignment horizontal="left"/>
      <protection locked="0"/>
    </xf>
    <xf numFmtId="14" fontId="3" fillId="3" borderId="23" xfId="0" applyNumberFormat="1" applyFont="1" applyFill="1" applyBorder="1" applyAlignment="1" applyProtection="1">
      <alignment horizontal="left"/>
      <protection locked="0"/>
    </xf>
    <xf numFmtId="0" fontId="40" fillId="3" borderId="7" xfId="0" applyFont="1" applyFill="1" applyBorder="1" applyAlignment="1" applyProtection="1">
      <alignment horizontal="left"/>
      <protection locked="0"/>
    </xf>
    <xf numFmtId="0" fontId="28" fillId="0" borderId="14" xfId="0" applyFont="1" applyBorder="1" applyAlignment="1" applyProtection="1">
      <alignment horizontal="left" wrapText="1"/>
    </xf>
    <xf numFmtId="0" fontId="28" fillId="0" borderId="9" xfId="0" applyFont="1" applyBorder="1" applyAlignment="1" applyProtection="1">
      <alignment horizontal="left" wrapText="1"/>
    </xf>
    <xf numFmtId="0" fontId="28" fillId="0" borderId="15" xfId="0" applyFont="1" applyBorder="1" applyAlignment="1" applyProtection="1">
      <alignment horizontal="left" wrapText="1"/>
    </xf>
    <xf numFmtId="0" fontId="7" fillId="9" borderId="59" xfId="0" applyFont="1" applyFill="1" applyBorder="1" applyAlignment="1" applyProtection="1">
      <alignment horizontal="left"/>
    </xf>
    <xf numFmtId="0" fontId="7" fillId="9" borderId="12" xfId="0" applyFont="1" applyFill="1" applyBorder="1" applyAlignment="1" applyProtection="1">
      <alignment horizontal="left"/>
    </xf>
    <xf numFmtId="0" fontId="7" fillId="9" borderId="13" xfId="0" applyFont="1" applyFill="1" applyBorder="1" applyAlignment="1" applyProtection="1">
      <alignment horizontal="left"/>
    </xf>
    <xf numFmtId="0" fontId="34" fillId="0" borderId="44" xfId="0" applyFont="1" applyBorder="1"/>
    <xf numFmtId="0" fontId="34" fillId="0" borderId="45" xfId="0" applyFont="1" applyBorder="1"/>
    <xf numFmtId="0" fontId="35" fillId="0" borderId="0" xfId="0" applyFont="1" applyAlignment="1">
      <alignment horizontal="center" vertical="center" wrapText="1"/>
    </xf>
    <xf numFmtId="0" fontId="39" fillId="0" borderId="0" xfId="0" applyFont="1" applyAlignment="1">
      <alignment horizontal="left" vertical="center"/>
    </xf>
    <xf numFmtId="0" fontId="34" fillId="0" borderId="0" xfId="0" applyFont="1" applyAlignment="1">
      <alignment horizontal="left" vertical="center"/>
    </xf>
    <xf numFmtId="164" fontId="33" fillId="0" borderId="0" xfId="0" applyNumberFormat="1" applyFont="1" applyAlignment="1" applyProtection="1">
      <alignment horizontal="left" vertical="center"/>
      <protection locked="0"/>
    </xf>
    <xf numFmtId="0" fontId="33" fillId="9" borderId="28" xfId="0" applyFont="1" applyFill="1" applyBorder="1" applyAlignment="1">
      <alignment horizontal="left" vertical="center"/>
    </xf>
    <xf numFmtId="14" fontId="35" fillId="0" borderId="0" xfId="0" applyNumberFormat="1" applyFont="1" applyAlignment="1">
      <alignment horizontal="center"/>
    </xf>
    <xf numFmtId="0" fontId="36" fillId="0" borderId="0" xfId="0" applyFont="1" applyAlignment="1">
      <alignment horizontal="left"/>
    </xf>
    <xf numFmtId="0" fontId="33" fillId="9" borderId="30" xfId="0" applyFont="1" applyFill="1" applyBorder="1" applyAlignment="1">
      <alignment horizontal="left" vertical="center"/>
    </xf>
    <xf numFmtId="0" fontId="33" fillId="9" borderId="32" xfId="0" applyFont="1" applyFill="1" applyBorder="1" applyAlignment="1">
      <alignment horizontal="left" vertical="center"/>
    </xf>
    <xf numFmtId="0" fontId="33" fillId="9" borderId="31" xfId="0" applyFont="1" applyFill="1" applyBorder="1" applyAlignment="1">
      <alignment horizontal="left" vertical="center"/>
    </xf>
    <xf numFmtId="0" fontId="34" fillId="0" borderId="0" xfId="0" applyFont="1" applyAlignment="1">
      <alignment wrapText="1"/>
    </xf>
    <xf numFmtId="0" fontId="34" fillId="0" borderId="20" xfId="0" applyFont="1" applyBorder="1" applyAlignment="1">
      <alignment wrapText="1"/>
    </xf>
    <xf numFmtId="0" fontId="34" fillId="0" borderId="9" xfId="0" applyFont="1" applyBorder="1" applyAlignment="1">
      <alignment horizontal="left" vertical="top" wrapText="1"/>
    </xf>
    <xf numFmtId="0" fontId="34" fillId="0" borderId="15" xfId="0" applyFont="1" applyBorder="1" applyAlignment="1">
      <alignment horizontal="left" vertical="top" wrapText="1"/>
    </xf>
    <xf numFmtId="0" fontId="34" fillId="0" borderId="2" xfId="0" applyFont="1" applyBorder="1"/>
    <xf numFmtId="0" fontId="34" fillId="0" borderId="18" xfId="0" applyFont="1" applyBorder="1"/>
    <xf numFmtId="0" fontId="34" fillId="0" borderId="9" xfId="0" applyFont="1" applyBorder="1"/>
    <xf numFmtId="0" fontId="34" fillId="0" borderId="15" xfId="0" applyFont="1" applyBorder="1"/>
    <xf numFmtId="0" fontId="0" fillId="0" borderId="0" xfId="0" applyAlignment="1">
      <alignment horizontal="left" vertical="center" wrapText="1"/>
    </xf>
    <xf numFmtId="0" fontId="0" fillId="0" borderId="0" xfId="0" applyAlignment="1">
      <alignment horizontal="left"/>
    </xf>
    <xf numFmtId="0" fontId="33" fillId="0" borderId="0" xfId="0" applyFont="1" applyAlignment="1">
      <alignment horizontal="left"/>
    </xf>
    <xf numFmtId="0" fontId="34" fillId="0" borderId="0" xfId="0" applyFont="1" applyAlignment="1">
      <alignment horizontal="left" vertical="center" wrapText="1"/>
    </xf>
    <xf numFmtId="0" fontId="34" fillId="0" borderId="0" xfId="0" applyFont="1" applyAlignment="1">
      <alignment horizontal="center" vertical="center" wrapText="1"/>
    </xf>
    <xf numFmtId="0" fontId="38" fillId="0" borderId="0" xfId="0" applyFont="1" applyAlignment="1">
      <alignment horizontal="left" vertical="center" wrapText="1"/>
    </xf>
    <xf numFmtId="0" fontId="34" fillId="0" borderId="0" xfId="0" applyFont="1" applyAlignment="1">
      <alignment horizontal="left"/>
    </xf>
    <xf numFmtId="0" fontId="36" fillId="0" borderId="0" xfId="0" applyFont="1" applyAlignment="1">
      <alignment horizontal="center" vertical="center" wrapText="1"/>
    </xf>
  </cellXfs>
  <cellStyles count="3">
    <cellStyle name="Normal" xfId="0" builtinId="0"/>
    <cellStyle name="Normal 2" xfId="1" xr:uid="{834D8F40-8509-4101-A8C6-26EB970D3611}"/>
    <cellStyle name="Normal 3" xfId="2" xr:uid="{82C17168-A57E-4F12-9CB7-9B995A3A0911}"/>
  </cellStyles>
  <dxfs count="18">
    <dxf>
      <fill>
        <patternFill>
          <bgColor rgb="FFFF0000"/>
        </patternFill>
      </fill>
    </dxf>
    <dxf>
      <fill>
        <patternFill>
          <bgColor rgb="FF00D652"/>
        </patternFill>
      </fill>
    </dxf>
    <dxf>
      <fill>
        <patternFill>
          <bgColor rgb="FF7DDF7D"/>
        </patternFill>
      </fill>
    </dxf>
    <dxf>
      <font>
        <strike val="0"/>
      </font>
      <fill>
        <patternFill>
          <bgColor rgb="FFFF6969"/>
        </patternFill>
      </fill>
    </dxf>
    <dxf>
      <fill>
        <patternFill>
          <bgColor rgb="FF7DDF7D"/>
        </patternFill>
      </fill>
    </dxf>
    <dxf>
      <font>
        <strike val="0"/>
      </font>
      <fill>
        <patternFill>
          <bgColor rgb="FFFF6969"/>
        </patternFill>
      </fill>
    </dxf>
    <dxf>
      <fill>
        <patternFill>
          <bgColor rgb="FF33CC33"/>
        </patternFill>
      </fill>
    </dxf>
    <dxf>
      <fill>
        <patternFill>
          <bgColor rgb="FFFF6600"/>
        </patternFill>
      </fill>
    </dxf>
    <dxf>
      <fill>
        <patternFill>
          <bgColor rgb="FF33CC33"/>
        </patternFill>
      </fill>
    </dxf>
    <dxf>
      <fill>
        <patternFill>
          <bgColor rgb="FFFF0000"/>
        </patternFill>
      </fill>
    </dxf>
    <dxf>
      <fill>
        <patternFill>
          <bgColor rgb="FFFF5050"/>
        </patternFill>
      </fill>
    </dxf>
    <dxf>
      <fill>
        <patternFill>
          <bgColor rgb="FF00B050"/>
        </patternFill>
      </fill>
    </dxf>
    <dxf>
      <fill>
        <patternFill>
          <bgColor rgb="FF7DDF7D"/>
        </patternFill>
      </fill>
    </dxf>
    <dxf>
      <font>
        <strike val="0"/>
      </font>
      <fill>
        <patternFill>
          <bgColor rgb="FFFF6969"/>
        </patternFill>
      </fill>
    </dxf>
    <dxf>
      <fill>
        <patternFill>
          <bgColor rgb="FF7DDF7D"/>
        </patternFill>
      </fill>
    </dxf>
    <dxf>
      <font>
        <strike val="0"/>
      </font>
      <fill>
        <patternFill>
          <bgColor rgb="FFFF6969"/>
        </patternFill>
      </fill>
    </dxf>
    <dxf>
      <fill>
        <patternFill>
          <bgColor rgb="FF7DDF7D"/>
        </patternFill>
      </fill>
    </dxf>
    <dxf>
      <font>
        <strike val="0"/>
      </font>
      <fill>
        <patternFill>
          <bgColor rgb="FFFF6969"/>
        </patternFill>
      </fill>
    </dxf>
  </dxfs>
  <tableStyles count="0" defaultTableStyle="TableStyleMedium2" defaultPivotStyle="PivotStyleLight16"/>
  <colors>
    <mruColors>
      <color rgb="FFFF5050"/>
      <color rgb="FF00D652"/>
      <color rgb="FFFF6600"/>
      <color rgb="FF33CC33"/>
      <color rgb="FF7DDF7D"/>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Tarantula</a:t>
            </a:r>
          </a:p>
        </c:rich>
      </c:tx>
      <c:overlay val="1"/>
    </c:title>
    <c:autoTitleDeleted val="0"/>
    <c:plotArea>
      <c:layout>
        <c:manualLayout>
          <c:layoutTarget val="inner"/>
          <c:xMode val="edge"/>
          <c:yMode val="edge"/>
          <c:x val="0.15482723351269623"/>
          <c:y val="0.12683727034120734"/>
          <c:w val="0.7941726330768889"/>
          <c:h val="0.68202810586176732"/>
        </c:manualLayout>
      </c:layout>
      <c:lineChart>
        <c:grouping val="standard"/>
        <c:varyColors val="0"/>
        <c:ser>
          <c:idx val="0"/>
          <c:order val="0"/>
          <c:spPr>
            <a:ln w="25400">
              <a:solidFill>
                <a:srgbClr val="FF0000"/>
              </a:solidFill>
              <a:prstDash val="solid"/>
            </a:ln>
          </c:spPr>
          <c:marker>
            <c:symbol val="diamond"/>
            <c:size val="9"/>
            <c:spPr>
              <a:solidFill>
                <a:srgbClr val="FF0000"/>
              </a:solidFill>
              <a:ln w="9525">
                <a:no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System'!$O$27:$O$39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4740-4ED5-94FA-F6299E6D2CF9}"/>
            </c:ext>
          </c:extLst>
        </c:ser>
        <c:ser>
          <c:idx val="1"/>
          <c:order val="1"/>
          <c:spPr>
            <a:ln w="28575">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Analysis'!$Q$26:$Q$38</c:f>
              <c:numCache>
                <c:formatCode>0</c:formatCode>
                <c:ptCount val="13"/>
                <c:pt idx="1">
                  <c:v>0</c:v>
                </c:pt>
                <c:pt idx="2">
                  <c:v>0</c:v>
                </c:pt>
                <c:pt idx="3">
                  <c:v>0</c:v>
                </c:pt>
                <c:pt idx="4">
                  <c:v>4</c:v>
                </c:pt>
                <c:pt idx="5">
                  <c:v>4</c:v>
                </c:pt>
                <c:pt idx="6">
                  <c:v>4</c:v>
                </c:pt>
                <c:pt idx="7">
                  <c:v>0</c:v>
                </c:pt>
                <c:pt idx="8">
                  <c:v>0</c:v>
                </c:pt>
                <c:pt idx="9">
                  <c:v>4</c:v>
                </c:pt>
                <c:pt idx="10">
                  <c:v>4</c:v>
                </c:pt>
                <c:pt idx="11">
                  <c:v>0</c:v>
                </c:pt>
                <c:pt idx="12">
                  <c:v>0</c:v>
                </c:pt>
              </c:numCache>
            </c:numRef>
          </c:val>
          <c:smooth val="0"/>
          <c:extLst>
            <c:ext xmlns:c16="http://schemas.microsoft.com/office/drawing/2014/chart" uri="{C3380CC4-5D6E-409C-BE32-E72D297353CC}">
              <c16:uniqueId val="{00000001-4740-4ED5-94FA-F6299E6D2CF9}"/>
            </c:ext>
          </c:extLst>
        </c:ser>
        <c:ser>
          <c:idx val="2"/>
          <c:order val="2"/>
          <c:spPr>
            <a:ln w="28575">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Analysis'!$P$26:$P$38</c:f>
              <c:numCache>
                <c:formatCode>0</c:formatCode>
                <c:ptCount val="13"/>
                <c:pt idx="0">
                  <c:v>0</c:v>
                </c:pt>
                <c:pt idx="1">
                  <c:v>5</c:v>
                </c:pt>
                <c:pt idx="2">
                  <c:v>16</c:v>
                </c:pt>
                <c:pt idx="3">
                  <c:v>20</c:v>
                </c:pt>
                <c:pt idx="4">
                  <c:v>20</c:v>
                </c:pt>
                <c:pt idx="5">
                  <c:v>20</c:v>
                </c:pt>
                <c:pt idx="6">
                  <c:v>20</c:v>
                </c:pt>
                <c:pt idx="7">
                  <c:v>12</c:v>
                </c:pt>
                <c:pt idx="8">
                  <c:v>12</c:v>
                </c:pt>
                <c:pt idx="9">
                  <c:v>20</c:v>
                </c:pt>
                <c:pt idx="10">
                  <c:v>20</c:v>
                </c:pt>
                <c:pt idx="11">
                  <c:v>10</c:v>
                </c:pt>
                <c:pt idx="12">
                  <c:v>5</c:v>
                </c:pt>
              </c:numCache>
            </c:numRef>
          </c:val>
          <c:smooth val="0"/>
          <c:extLst>
            <c:ext xmlns:c16="http://schemas.microsoft.com/office/drawing/2014/chart" uri="{C3380CC4-5D6E-409C-BE32-E72D297353CC}">
              <c16:uniqueId val="{00000002-4740-4ED5-94FA-F6299E6D2CF9}"/>
            </c:ext>
          </c:extLst>
        </c:ser>
        <c:ser>
          <c:idx val="3"/>
          <c:order val="3"/>
          <c:tx>
            <c:v>Lower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System'!$N$53:$N$65</c:f>
              <c:numCache>
                <c:formatCode>0.0</c:formatCode>
                <c:ptCount val="13"/>
              </c:numCache>
            </c:numRef>
          </c:val>
          <c:smooth val="0"/>
          <c:extLst>
            <c:ext xmlns:c16="http://schemas.microsoft.com/office/drawing/2014/chart" uri="{C3380CC4-5D6E-409C-BE32-E72D297353CC}">
              <c16:uniqueId val="{00000003-4740-4ED5-94FA-F6299E6D2CF9}"/>
            </c:ext>
          </c:extLst>
        </c:ser>
        <c:ser>
          <c:idx val="4"/>
          <c:order val="4"/>
          <c:tx>
            <c:v>Upper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System'!$O$53:$O$65</c:f>
              <c:numCache>
                <c:formatCode>0.0;[Red]0.0</c:formatCode>
                <c:ptCount val="13"/>
              </c:numCache>
            </c:numRef>
          </c:val>
          <c:smooth val="0"/>
          <c:extLst>
            <c:ext xmlns:c16="http://schemas.microsoft.com/office/drawing/2014/chart" uri="{C3380CC4-5D6E-409C-BE32-E72D297353CC}">
              <c16:uniqueId val="{00000004-4740-4ED5-94FA-F6299E6D2CF9}"/>
            </c:ext>
          </c:extLst>
        </c:ser>
        <c:dLbls>
          <c:showLegendKey val="0"/>
          <c:showVal val="0"/>
          <c:showCatName val="0"/>
          <c:showSerName val="0"/>
          <c:showPercent val="0"/>
          <c:showBubbleSize val="0"/>
        </c:dLbls>
        <c:marker val="1"/>
        <c:smooth val="0"/>
        <c:axId val="241588800"/>
        <c:axId val="241589192"/>
      </c:lineChart>
      <c:catAx>
        <c:axId val="24158880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50819770104914164"/>
              <c:y val="0.908588392624283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75" b="1" i="0" u="none" strike="noStrike" baseline="0">
                <a:solidFill>
                  <a:srgbClr val="000000"/>
                </a:solidFill>
                <a:latin typeface="Arial"/>
                <a:ea typeface="Arial"/>
                <a:cs typeface="Arial"/>
              </a:defRPr>
            </a:pPr>
            <a:endParaRPr lang="en-US"/>
          </a:p>
        </c:txPr>
        <c:crossAx val="241589192"/>
        <c:crosses val="autoZero"/>
        <c:auto val="0"/>
        <c:lblAlgn val="ctr"/>
        <c:lblOffset val="100"/>
        <c:tickLblSkip val="1"/>
        <c:tickMarkSkip val="1"/>
        <c:noMultiLvlLbl val="0"/>
      </c:catAx>
      <c:valAx>
        <c:axId val="24158919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Retained, % Vol</a:t>
                </a:r>
              </a:p>
            </c:rich>
          </c:tx>
          <c:layout>
            <c:manualLayout>
              <c:xMode val="edge"/>
              <c:yMode val="edge"/>
              <c:x val="9.1075388429631889E-3"/>
              <c:y val="0.26038809630825743"/>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241588800"/>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Individual and Combined Gradations</a:t>
            </a:r>
          </a:p>
        </c:rich>
      </c:tx>
      <c:overlay val="1"/>
    </c:title>
    <c:autoTitleDeleted val="0"/>
    <c:plotArea>
      <c:layout>
        <c:manualLayout>
          <c:layoutTarget val="inner"/>
          <c:xMode val="edge"/>
          <c:yMode val="edge"/>
          <c:x val="0.1288565179352581"/>
          <c:y val="0.13073665791776029"/>
          <c:w val="0.82600880338685356"/>
          <c:h val="0.67934782608695654"/>
        </c:manualLayout>
      </c:layout>
      <c:lineChart>
        <c:grouping val="standard"/>
        <c:varyColors val="0"/>
        <c:ser>
          <c:idx val="1"/>
          <c:order val="0"/>
          <c:tx>
            <c:v>C33</c:v>
          </c:tx>
          <c:spPr>
            <a:ln w="25400">
              <a:solidFill>
                <a:srgbClr val="0000FF"/>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Analysis'!$H$26:$H$38</c:f>
              <c:numCache>
                <c:formatCode>0</c:formatCode>
                <c:ptCount val="13"/>
                <c:pt idx="0">
                  <c:v>100</c:v>
                </c:pt>
                <c:pt idx="1">
                  <c:v>100</c:v>
                </c:pt>
                <c:pt idx="2">
                  <c:v>100</c:v>
                </c:pt>
                <c:pt idx="3">
                  <c:v>100</c:v>
                </c:pt>
                <c:pt idx="4">
                  <c:v>100</c:v>
                </c:pt>
                <c:pt idx="5">
                  <c:v>100</c:v>
                </c:pt>
                <c:pt idx="6">
                  <c:v>95</c:v>
                </c:pt>
                <c:pt idx="7">
                  <c:v>80</c:v>
                </c:pt>
                <c:pt idx="8">
                  <c:v>50</c:v>
                </c:pt>
                <c:pt idx="9">
                  <c:v>25</c:v>
                </c:pt>
                <c:pt idx="10">
                  <c:v>10</c:v>
                </c:pt>
                <c:pt idx="11">
                  <c:v>2</c:v>
                </c:pt>
                <c:pt idx="12" formatCode="General">
                  <c:v>0</c:v>
                </c:pt>
              </c:numCache>
            </c:numRef>
          </c:val>
          <c:smooth val="0"/>
          <c:extLst>
            <c:ext xmlns:c16="http://schemas.microsoft.com/office/drawing/2014/chart" uri="{C3380CC4-5D6E-409C-BE32-E72D297353CC}">
              <c16:uniqueId val="{00000000-69BA-413F-BBBE-83E8F55A55FB}"/>
            </c:ext>
          </c:extLst>
        </c:ser>
        <c:ser>
          <c:idx val="2"/>
          <c:order val="1"/>
          <c:tx>
            <c:v>Lower C33</c:v>
          </c:tx>
          <c:spPr>
            <a:ln w="25400">
              <a:solidFill>
                <a:srgbClr val="0000FF"/>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Analysis'!$I$26:$I$38</c:f>
              <c:numCache>
                <c:formatCode>0</c:formatCode>
                <c:ptCount val="13"/>
                <c:pt idx="0">
                  <c:v>100</c:v>
                </c:pt>
                <c:pt idx="1">
                  <c:v>100</c:v>
                </c:pt>
                <c:pt idx="2">
                  <c:v>100</c:v>
                </c:pt>
                <c:pt idx="3">
                  <c:v>100</c:v>
                </c:pt>
                <c:pt idx="4">
                  <c:v>100</c:v>
                </c:pt>
                <c:pt idx="5">
                  <c:v>100</c:v>
                </c:pt>
                <c:pt idx="6">
                  <c:v>100</c:v>
                </c:pt>
                <c:pt idx="7">
                  <c:v>100</c:v>
                </c:pt>
                <c:pt idx="8">
                  <c:v>85</c:v>
                </c:pt>
                <c:pt idx="9">
                  <c:v>60</c:v>
                </c:pt>
                <c:pt idx="10">
                  <c:v>30</c:v>
                </c:pt>
                <c:pt idx="11">
                  <c:v>10</c:v>
                </c:pt>
                <c:pt idx="12" formatCode="General">
                  <c:v>0</c:v>
                </c:pt>
              </c:numCache>
            </c:numRef>
          </c:val>
          <c:smooth val="0"/>
          <c:extLst>
            <c:ext xmlns:c16="http://schemas.microsoft.com/office/drawing/2014/chart" uri="{C3380CC4-5D6E-409C-BE32-E72D297353CC}">
              <c16:uniqueId val="{00000001-69BA-413F-BBBE-83E8F55A55FB}"/>
            </c:ext>
          </c:extLst>
        </c:ser>
        <c:ser>
          <c:idx val="3"/>
          <c:order val="2"/>
          <c:tx>
            <c:strRef>
              <c:f>'1 Aggregate System'!$E$23</c:f>
              <c:strCache>
                <c:ptCount val="1"/>
              </c:strCache>
            </c:strRef>
          </c:tx>
          <c:spPr>
            <a:ln w="12700">
              <a:solidFill>
                <a:srgbClr val="FF0000"/>
              </a:solidFill>
              <a:prstDash val="solid"/>
            </a:ln>
          </c:spPr>
          <c:marker>
            <c:symbol val="circle"/>
            <c:size val="6"/>
            <c:spPr>
              <a:noFill/>
              <a:ln>
                <a:solidFill>
                  <a:srgbClr val="FF0000"/>
                </a:solidFill>
                <a:prstDash val="solid"/>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System'!$D$27:$D$39</c:f>
              <c:numCache>
                <c:formatCode>0.0</c:formatCode>
                <c:ptCount val="13"/>
              </c:numCache>
            </c:numRef>
          </c:val>
          <c:smooth val="0"/>
          <c:extLst>
            <c:ext xmlns:c16="http://schemas.microsoft.com/office/drawing/2014/chart" uri="{C3380CC4-5D6E-409C-BE32-E72D297353CC}">
              <c16:uniqueId val="{00000002-69BA-413F-BBBE-83E8F55A55FB}"/>
            </c:ext>
          </c:extLst>
        </c:ser>
        <c:ser>
          <c:idx val="4"/>
          <c:order val="3"/>
          <c:tx>
            <c:strRef>
              <c:f>'1 Aggregate System'!$G$23</c:f>
              <c:strCache>
                <c:ptCount val="1"/>
              </c:strCache>
            </c:strRef>
          </c:tx>
          <c:spPr>
            <a:ln w="12700">
              <a:solidFill>
                <a:srgbClr val="800080"/>
              </a:solidFill>
              <a:prstDash val="solid"/>
            </a:ln>
          </c:spPr>
          <c:marker>
            <c:symbol val="square"/>
            <c:size val="5"/>
            <c:spPr>
              <a:noFill/>
              <a:ln>
                <a:solidFill>
                  <a:srgbClr val="800080"/>
                </a:solidFill>
                <a:prstDash val="solid"/>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System'!$F$27:$F$39</c:f>
              <c:numCache>
                <c:formatCode>0.0</c:formatCode>
                <c:ptCount val="13"/>
              </c:numCache>
            </c:numRef>
          </c:val>
          <c:smooth val="0"/>
          <c:extLst>
            <c:ext xmlns:c16="http://schemas.microsoft.com/office/drawing/2014/chart" uri="{C3380CC4-5D6E-409C-BE32-E72D297353CC}">
              <c16:uniqueId val="{00000003-69BA-413F-BBBE-83E8F55A55FB}"/>
            </c:ext>
          </c:extLst>
        </c:ser>
        <c:ser>
          <c:idx val="0"/>
          <c:order val="4"/>
          <c:tx>
            <c:strRef>
              <c:f>'1 Aggregate System'!$C$23</c:f>
              <c:strCache>
                <c:ptCount val="1"/>
              </c:strCache>
            </c:strRef>
          </c:tx>
          <c:spPr>
            <a:ln w="12700">
              <a:solidFill>
                <a:srgbClr val="000080"/>
              </a:solidFill>
              <a:prstDash val="solid"/>
            </a:ln>
          </c:spPr>
          <c:marker>
            <c:symbol val="triangle"/>
            <c:size val="5"/>
            <c:spPr>
              <a:solidFill>
                <a:srgbClr val="FFFFFF"/>
              </a:solidFill>
              <a:ln>
                <a:solidFill>
                  <a:srgbClr val="000000"/>
                </a:solidFill>
                <a:prstDash val="solid"/>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System'!$B$27:$B$39</c:f>
              <c:numCache>
                <c:formatCode>0.0</c:formatCode>
                <c:ptCount val="13"/>
              </c:numCache>
            </c:numRef>
          </c:val>
          <c:smooth val="0"/>
          <c:extLst>
            <c:ext xmlns:c16="http://schemas.microsoft.com/office/drawing/2014/chart" uri="{C3380CC4-5D6E-409C-BE32-E72D297353CC}">
              <c16:uniqueId val="{00000004-69BA-413F-BBBE-83E8F55A55FB}"/>
            </c:ext>
          </c:extLst>
        </c:ser>
        <c:ser>
          <c:idx val="5"/>
          <c:order val="5"/>
          <c:tx>
            <c:v>Combined</c:v>
          </c:tx>
          <c:spPr>
            <a:ln w="25400">
              <a:solidFill>
                <a:srgbClr val="FF00FF"/>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System'!$L$27:$L$39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5-69BA-413F-BBBE-83E8F55A55FB}"/>
            </c:ext>
          </c:extLst>
        </c:ser>
        <c:dLbls>
          <c:showLegendKey val="0"/>
          <c:showVal val="0"/>
          <c:showCatName val="0"/>
          <c:showSerName val="0"/>
          <c:showPercent val="0"/>
          <c:showBubbleSize val="0"/>
        </c:dLbls>
        <c:smooth val="0"/>
        <c:axId val="241589976"/>
        <c:axId val="242646392"/>
      </c:lineChart>
      <c:catAx>
        <c:axId val="24158997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43772976845860839"/>
              <c:y val="0.91032608212109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1" i="0" u="none" strike="noStrike" baseline="0">
                <a:solidFill>
                  <a:srgbClr val="000000"/>
                </a:solidFill>
                <a:latin typeface="Arial"/>
                <a:ea typeface="Arial"/>
                <a:cs typeface="Arial"/>
              </a:defRPr>
            </a:pPr>
            <a:endParaRPr lang="en-US"/>
          </a:p>
        </c:txPr>
        <c:crossAx val="242646392"/>
        <c:crosses val="autoZero"/>
        <c:auto val="1"/>
        <c:lblAlgn val="ctr"/>
        <c:lblOffset val="100"/>
        <c:tickLblSkip val="1"/>
        <c:tickMarkSkip val="1"/>
        <c:noMultiLvlLbl val="0"/>
      </c:catAx>
      <c:valAx>
        <c:axId val="242646392"/>
        <c:scaling>
          <c:orientation val="minMax"/>
          <c:max val="1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Passing</a:t>
                </a:r>
              </a:p>
            </c:rich>
          </c:tx>
          <c:layout>
            <c:manualLayout>
              <c:xMode val="edge"/>
              <c:yMode val="edge"/>
              <c:x val="2.8451004905723831E-2"/>
              <c:y val="0.3465578984830285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41589976"/>
        <c:crosses val="max"/>
        <c:crossBetween val="midCat"/>
        <c:majorUnit val="20"/>
      </c:valAx>
      <c:spPr>
        <a:solidFill>
          <a:srgbClr val="FFFFFF"/>
        </a:solidFill>
        <a:ln w="3175">
          <a:solidFill>
            <a:srgbClr val="000000"/>
          </a:solidFill>
          <a:prstDash val="solid"/>
        </a:ln>
      </c:spPr>
    </c:plotArea>
    <c:legend>
      <c:legendPos val="r"/>
      <c:legendEntry>
        <c:idx val="1"/>
        <c:delete val="1"/>
      </c:legendEntry>
      <c:layout>
        <c:manualLayout>
          <c:xMode val="edge"/>
          <c:yMode val="edge"/>
          <c:x val="0.7668089172111896"/>
          <c:y val="0.43864747375328084"/>
          <c:w val="0.17081832737481628"/>
          <c:h val="0.34861092575292491"/>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Haystack</a:t>
            </a:r>
          </a:p>
        </c:rich>
      </c:tx>
      <c:overlay val="1"/>
    </c:title>
    <c:autoTitleDeleted val="0"/>
    <c:plotArea>
      <c:layout>
        <c:manualLayout>
          <c:layoutTarget val="inner"/>
          <c:xMode val="edge"/>
          <c:yMode val="edge"/>
          <c:x val="0.15482723351269623"/>
          <c:y val="0.12683727034120734"/>
          <c:w val="0.7941726330768889"/>
          <c:h val="0.68202810586176732"/>
        </c:manualLayout>
      </c:layout>
      <c:lineChart>
        <c:grouping val="standard"/>
        <c:varyColors val="0"/>
        <c:ser>
          <c:idx val="0"/>
          <c:order val="0"/>
          <c:spPr>
            <a:ln w="25400">
              <a:solidFill>
                <a:srgbClr val="FF0000"/>
              </a:solidFill>
              <a:prstDash val="solid"/>
            </a:ln>
          </c:spPr>
          <c:marker>
            <c:symbol val="diamond"/>
            <c:size val="9"/>
            <c:spPr>
              <a:solidFill>
                <a:srgbClr val="FF0000"/>
              </a:solidFill>
              <a:ln w="9525">
                <a:no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System'!$N$27:$N$39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3125-4870-986D-4B6B6F642A9D}"/>
            </c:ext>
          </c:extLst>
        </c:ser>
        <c:ser>
          <c:idx val="1"/>
          <c:order val="1"/>
          <c:spPr>
            <a:ln w="12700">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Analysis'!$F$27:$F$38</c:f>
              <c:numCache>
                <c:formatCode>General</c:formatCode>
                <c:ptCount val="12"/>
                <c:pt idx="2">
                  <c:v>0</c:v>
                </c:pt>
                <c:pt idx="3">
                  <c:v>8</c:v>
                </c:pt>
                <c:pt idx="4">
                  <c:v>8</c:v>
                </c:pt>
                <c:pt idx="5">
                  <c:v>8</c:v>
                </c:pt>
                <c:pt idx="6">
                  <c:v>8</c:v>
                </c:pt>
                <c:pt idx="7">
                  <c:v>8</c:v>
                </c:pt>
                <c:pt idx="8">
                  <c:v>8</c:v>
                </c:pt>
                <c:pt idx="9">
                  <c:v>0</c:v>
                </c:pt>
              </c:numCache>
            </c:numRef>
          </c:val>
          <c:smooth val="0"/>
          <c:extLst>
            <c:ext xmlns:c16="http://schemas.microsoft.com/office/drawing/2014/chart" uri="{C3380CC4-5D6E-409C-BE32-E72D297353CC}">
              <c16:uniqueId val="{00000001-3125-4870-986D-4B6B6F642A9D}"/>
            </c:ext>
          </c:extLst>
        </c:ser>
        <c:ser>
          <c:idx val="2"/>
          <c:order val="2"/>
          <c:spPr>
            <a:ln w="12700">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Analysis'!$G$27:$G$38</c:f>
              <c:numCache>
                <c:formatCode>General</c:formatCode>
                <c:ptCount val="12"/>
                <c:pt idx="1">
                  <c:v>0</c:v>
                </c:pt>
                <c:pt idx="2">
                  <c:v>18</c:v>
                </c:pt>
                <c:pt idx="3">
                  <c:v>18</c:v>
                </c:pt>
                <c:pt idx="4">
                  <c:v>18</c:v>
                </c:pt>
                <c:pt idx="5">
                  <c:v>18</c:v>
                </c:pt>
                <c:pt idx="6">
                  <c:v>18</c:v>
                </c:pt>
                <c:pt idx="7">
                  <c:v>18</c:v>
                </c:pt>
                <c:pt idx="8">
                  <c:v>18</c:v>
                </c:pt>
                <c:pt idx="9">
                  <c:v>18</c:v>
                </c:pt>
                <c:pt idx="10">
                  <c:v>0</c:v>
                </c:pt>
              </c:numCache>
            </c:numRef>
          </c:val>
          <c:smooth val="0"/>
          <c:extLst>
            <c:ext xmlns:c16="http://schemas.microsoft.com/office/drawing/2014/chart" uri="{C3380CC4-5D6E-409C-BE32-E72D297353CC}">
              <c16:uniqueId val="{00000002-3125-4870-986D-4B6B6F642A9D}"/>
            </c:ext>
          </c:extLst>
        </c:ser>
        <c:dLbls>
          <c:showLegendKey val="0"/>
          <c:showVal val="0"/>
          <c:showCatName val="0"/>
          <c:showSerName val="0"/>
          <c:showPercent val="0"/>
          <c:showBubbleSize val="0"/>
        </c:dLbls>
        <c:marker val="1"/>
        <c:smooth val="0"/>
        <c:axId val="242945664"/>
        <c:axId val="242946056"/>
      </c:lineChart>
      <c:catAx>
        <c:axId val="24294566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50819770104914164"/>
              <c:y val="0.908588392624283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75" b="1" i="0" u="none" strike="noStrike" baseline="0">
                <a:solidFill>
                  <a:srgbClr val="000000"/>
                </a:solidFill>
                <a:latin typeface="Arial"/>
                <a:ea typeface="Arial"/>
                <a:cs typeface="Arial"/>
              </a:defRPr>
            </a:pPr>
            <a:endParaRPr lang="en-US"/>
          </a:p>
        </c:txPr>
        <c:crossAx val="242946056"/>
        <c:crosses val="autoZero"/>
        <c:auto val="0"/>
        <c:lblAlgn val="ctr"/>
        <c:lblOffset val="100"/>
        <c:tickLblSkip val="1"/>
        <c:tickMarkSkip val="1"/>
        <c:noMultiLvlLbl val="0"/>
      </c:catAx>
      <c:valAx>
        <c:axId val="24294605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Retained</a:t>
                </a:r>
              </a:p>
            </c:rich>
          </c:tx>
          <c:layout>
            <c:manualLayout>
              <c:xMode val="edge"/>
              <c:yMode val="edge"/>
              <c:x val="9.1075388429631889E-3"/>
              <c:y val="0.26038809630825743"/>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242945664"/>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Power 45</a:t>
            </a:r>
          </a:p>
        </c:rich>
      </c:tx>
      <c:overlay val="1"/>
    </c:title>
    <c:autoTitleDeleted val="0"/>
    <c:plotArea>
      <c:layout>
        <c:manualLayout>
          <c:layoutTarget val="inner"/>
          <c:xMode val="edge"/>
          <c:yMode val="edge"/>
          <c:x val="0.13169830854476525"/>
          <c:y val="0.14666666666666667"/>
          <c:w val="0.84095139053162005"/>
          <c:h val="0.73428571428571432"/>
        </c:manualLayout>
      </c:layout>
      <c:scatterChart>
        <c:scatterStyle val="smoothMarker"/>
        <c:varyColors val="0"/>
        <c:ser>
          <c:idx val="0"/>
          <c:order val="0"/>
          <c:tx>
            <c:v>Mixture</c:v>
          </c:tx>
          <c:spPr>
            <a:ln w="25400">
              <a:solidFill>
                <a:srgbClr val="0000FF"/>
              </a:solidFill>
              <a:prstDash val="solid"/>
            </a:ln>
          </c:spPr>
          <c:marker>
            <c:symbol val="star"/>
            <c:size val="8"/>
            <c:spPr>
              <a:noFill/>
              <a:ln>
                <a:solidFill>
                  <a:srgbClr val="0000FF"/>
                </a:solidFill>
                <a:prstDash val="solid"/>
              </a:ln>
            </c:spPr>
          </c:marker>
          <c:xVal>
            <c:numRef>
              <c:f>'4 Agg Analysis'!$D$25:$D$38</c:f>
              <c:numCache>
                <c:formatCode>0.000</c:formatCode>
                <c:ptCount val="14"/>
                <c:pt idx="0">
                  <c:v>6.9787488376816533</c:v>
                </c:pt>
                <c:pt idx="1">
                  <c:v>5.8148230317277987</c:v>
                </c:pt>
                <c:pt idx="2">
                  <c:v>5.1087431744234335</c:v>
                </c:pt>
                <c:pt idx="3">
                  <c:v>4.2566996126039234</c:v>
                </c:pt>
                <c:pt idx="4">
                  <c:v>3.8064100829378442</c:v>
                </c:pt>
                <c:pt idx="5">
                  <c:v>3.116086507375345</c:v>
                </c:pt>
                <c:pt idx="6">
                  <c:v>2.754074108566122</c:v>
                </c:pt>
                <c:pt idx="7">
                  <c:v>2.0161002539629291</c:v>
                </c:pt>
                <c:pt idx="8">
                  <c:v>1.4716698795820382</c:v>
                </c:pt>
                <c:pt idx="9">
                  <c:v>1.0773254099250416</c:v>
                </c:pt>
                <c:pt idx="10">
                  <c:v>0.79463568224020453</c:v>
                </c:pt>
                <c:pt idx="11">
                  <c:v>0.58170736792793831</c:v>
                </c:pt>
                <c:pt idx="12">
                  <c:v>0.42583471830473674</c:v>
                </c:pt>
                <c:pt idx="13">
                  <c:v>0.31172925995349998</c:v>
                </c:pt>
              </c:numCache>
            </c:numRef>
          </c:xVal>
          <c:yVal>
            <c:numRef>
              <c:f>'4 Agg Analysis'!$E$25:$E$38</c:f>
              <c:numCache>
                <c:formatCode>0.0;[Red]0.0</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1"/>
          <c:extLst>
            <c:ext xmlns:c16="http://schemas.microsoft.com/office/drawing/2014/chart" uri="{C3380CC4-5D6E-409C-BE32-E72D297353CC}">
              <c16:uniqueId val="{00000000-2112-4335-B457-F6D65A225724}"/>
            </c:ext>
          </c:extLst>
        </c:ser>
        <c:ser>
          <c:idx val="1"/>
          <c:order val="1"/>
          <c:tx>
            <c:v>Max Density</c:v>
          </c:tx>
          <c:spPr>
            <a:ln w="25400">
              <a:solidFill>
                <a:srgbClr val="008000"/>
              </a:solidFill>
              <a:prstDash val="solid"/>
            </a:ln>
          </c:spPr>
          <c:marker>
            <c:symbol val="none"/>
          </c:marker>
          <c:xVal>
            <c:numRef>
              <c:f>('4 Agg Analysis'!$E$66,'4 Agg Analysis'!$E$69)</c:f>
              <c:numCache>
                <c:formatCode>0.000</c:formatCode>
                <c:ptCount val="2"/>
                <c:pt idx="0">
                  <c:v>#N/A</c:v>
                </c:pt>
                <c:pt idx="1">
                  <c:v>0.31172925995349998</c:v>
                </c:pt>
              </c:numCache>
            </c:numRef>
          </c:xVal>
          <c:yVal>
            <c:numRef>
              <c:f>'4 Agg Analysis'!$N$63:$N$65</c:f>
              <c:numCache>
                <c:formatCode>General</c:formatCode>
                <c:ptCount val="3"/>
                <c:pt idx="0">
                  <c:v>100</c:v>
                </c:pt>
                <c:pt idx="1">
                  <c:v>0</c:v>
                </c:pt>
              </c:numCache>
            </c:numRef>
          </c:yVal>
          <c:smooth val="1"/>
          <c:extLst>
            <c:ext xmlns:c16="http://schemas.microsoft.com/office/drawing/2014/chart" uri="{C3380CC4-5D6E-409C-BE32-E72D297353CC}">
              <c16:uniqueId val="{00000001-2112-4335-B457-F6D65A225724}"/>
            </c:ext>
          </c:extLst>
        </c:ser>
        <c:ser>
          <c:idx val="2"/>
          <c:order val="2"/>
          <c:tx>
            <c:v>lower</c:v>
          </c:tx>
          <c:spPr>
            <a:ln w="12700">
              <a:solidFill>
                <a:srgbClr val="FF0000"/>
              </a:solidFill>
              <a:prstDash val="lgDash"/>
            </a:ln>
          </c:spPr>
          <c:marker>
            <c:symbol val="none"/>
          </c:marker>
          <c:xVal>
            <c:numRef>
              <c:f>'4 Agg Analysis'!$E$65:$F$65</c:f>
              <c:numCache>
                <c:formatCode>0.000</c:formatCode>
                <c:ptCount val="2"/>
                <c:pt idx="0">
                  <c:v>#N/A</c:v>
                </c:pt>
                <c:pt idx="1">
                  <c:v>0.31172925995349998</c:v>
                </c:pt>
              </c:numCache>
            </c:numRef>
          </c:xVal>
          <c:yVal>
            <c:numRef>
              <c:f>'4 Agg Analysis'!$N$63:$N$64</c:f>
              <c:numCache>
                <c:formatCode>General</c:formatCode>
                <c:ptCount val="2"/>
                <c:pt idx="0">
                  <c:v>100</c:v>
                </c:pt>
                <c:pt idx="1">
                  <c:v>0</c:v>
                </c:pt>
              </c:numCache>
            </c:numRef>
          </c:yVal>
          <c:smooth val="1"/>
          <c:extLst>
            <c:ext xmlns:c16="http://schemas.microsoft.com/office/drawing/2014/chart" uri="{C3380CC4-5D6E-409C-BE32-E72D297353CC}">
              <c16:uniqueId val="{00000002-2112-4335-B457-F6D65A225724}"/>
            </c:ext>
          </c:extLst>
        </c:ser>
        <c:ser>
          <c:idx val="3"/>
          <c:order val="3"/>
          <c:tx>
            <c:v>upper</c:v>
          </c:tx>
          <c:spPr>
            <a:ln w="12700">
              <a:solidFill>
                <a:srgbClr val="FF0000"/>
              </a:solidFill>
              <a:prstDash val="lgDash"/>
            </a:ln>
          </c:spPr>
          <c:marker>
            <c:symbol val="none"/>
          </c:marker>
          <c:xVal>
            <c:numRef>
              <c:f>('4 Agg Analysis'!$E$67,'4 Agg Analysis'!$E$69)</c:f>
              <c:numCache>
                <c:formatCode>0.000</c:formatCode>
                <c:ptCount val="2"/>
                <c:pt idx="0">
                  <c:v>#N/A</c:v>
                </c:pt>
                <c:pt idx="1">
                  <c:v>0.31172925995349998</c:v>
                </c:pt>
              </c:numCache>
            </c:numRef>
          </c:xVal>
          <c:yVal>
            <c:numRef>
              <c:f>'4 Agg Analysis'!$N$69:$N$70</c:f>
              <c:numCache>
                <c:formatCode>General</c:formatCode>
                <c:ptCount val="2"/>
                <c:pt idx="0">
                  <c:v>100</c:v>
                </c:pt>
                <c:pt idx="1">
                  <c:v>0</c:v>
                </c:pt>
              </c:numCache>
            </c:numRef>
          </c:yVal>
          <c:smooth val="1"/>
          <c:extLst>
            <c:ext xmlns:c16="http://schemas.microsoft.com/office/drawing/2014/chart" uri="{C3380CC4-5D6E-409C-BE32-E72D297353CC}">
              <c16:uniqueId val="{00000003-2112-4335-B457-F6D65A225724}"/>
            </c:ext>
          </c:extLst>
        </c:ser>
        <c:ser>
          <c:idx val="4"/>
          <c:order val="4"/>
          <c:tx>
            <c:v>marks</c:v>
          </c:tx>
          <c:spPr>
            <a:ln w="28575">
              <a:noFill/>
            </a:ln>
          </c:spPr>
          <c:marker>
            <c:symbol val="plus"/>
            <c:size val="9"/>
            <c:spPr>
              <a:noFill/>
              <a:ln>
                <a:solidFill>
                  <a:srgbClr val="000000"/>
                </a:solidFill>
                <a:prstDash val="solid"/>
              </a:ln>
            </c:spPr>
          </c:marker>
          <c:xVal>
            <c:numRef>
              <c:f>'4 Agg Analysis'!$O$26:$O$38</c:f>
              <c:numCache>
                <c:formatCode>General</c:formatCode>
                <c:ptCount val="13"/>
                <c:pt idx="0" formatCode="0.000">
                  <c:v>5.8148230317277987</c:v>
                </c:pt>
                <c:pt idx="2" formatCode="0.000">
                  <c:v>4.2566996126039234</c:v>
                </c:pt>
                <c:pt idx="4" formatCode="0.000">
                  <c:v>3.116086507375345</c:v>
                </c:pt>
                <c:pt idx="6" formatCode="0.000">
                  <c:v>2.0161002539629291</c:v>
                </c:pt>
                <c:pt idx="8" formatCode="0.000">
                  <c:v>1.0773254099250416</c:v>
                </c:pt>
                <c:pt idx="10" formatCode="0.000">
                  <c:v>0.58170736792793831</c:v>
                </c:pt>
                <c:pt idx="12" formatCode="0.000">
                  <c:v>0.31172925995349998</c:v>
                </c:pt>
              </c:numCache>
            </c:numRef>
          </c:xVal>
          <c:yVal>
            <c:numRef>
              <c:f>'4 Agg Analysis'!$N$26:$N$38</c:f>
              <c:numCache>
                <c:formatCode>General</c:formatCode>
                <c:ptCount val="13"/>
                <c:pt idx="0">
                  <c:v>0</c:v>
                </c:pt>
                <c:pt idx="2">
                  <c:v>0</c:v>
                </c:pt>
                <c:pt idx="4">
                  <c:v>0</c:v>
                </c:pt>
                <c:pt idx="6">
                  <c:v>0</c:v>
                </c:pt>
                <c:pt idx="8">
                  <c:v>0</c:v>
                </c:pt>
                <c:pt idx="10">
                  <c:v>0</c:v>
                </c:pt>
                <c:pt idx="12">
                  <c:v>0</c:v>
                </c:pt>
              </c:numCache>
            </c:numRef>
          </c:yVal>
          <c:smooth val="1"/>
          <c:extLst>
            <c:ext xmlns:c16="http://schemas.microsoft.com/office/drawing/2014/chart" uri="{C3380CC4-5D6E-409C-BE32-E72D297353CC}">
              <c16:uniqueId val="{00000004-2112-4335-B457-F6D65A225724}"/>
            </c:ext>
          </c:extLst>
        </c:ser>
        <c:ser>
          <c:idx val="5"/>
          <c:order val="5"/>
          <c:tx>
            <c:v>Limits</c:v>
          </c:tx>
          <c:spPr>
            <a:ln w="25400">
              <a:solidFill>
                <a:srgbClr val="FF0000"/>
              </a:solidFill>
              <a:prstDash val="solid"/>
            </a:ln>
          </c:spPr>
          <c:marker>
            <c:symbol val="none"/>
          </c:marker>
          <c:xVal>
            <c:numRef>
              <c:f>'4 Agg Analysis'!$D$60:$D$62</c:f>
              <c:numCache>
                <c:formatCode>0.000</c:formatCode>
                <c:ptCount val="3"/>
                <c:pt idx="0">
                  <c:v>1.1899115514578733</c:v>
                </c:pt>
                <c:pt idx="1">
                  <c:v>1.1899115514578733</c:v>
                </c:pt>
                <c:pt idx="2">
                  <c:v>3.116086507375345</c:v>
                </c:pt>
              </c:numCache>
            </c:numRef>
          </c:xVal>
          <c:yVal>
            <c:numRef>
              <c:f>'4 Agg Analysis'!$E$60:$E$62</c:f>
              <c:numCache>
                <c:formatCode>0.00</c:formatCode>
                <c:ptCount val="3"/>
                <c:pt idx="0" formatCode="General">
                  <c:v>0</c:v>
                </c:pt>
                <c:pt idx="1">
                  <c:v>#N/A</c:v>
                </c:pt>
                <c:pt idx="2">
                  <c:v>#N/A</c:v>
                </c:pt>
              </c:numCache>
            </c:numRef>
          </c:yVal>
          <c:smooth val="0"/>
          <c:extLst>
            <c:ext xmlns:c16="http://schemas.microsoft.com/office/drawing/2014/chart" uri="{C3380CC4-5D6E-409C-BE32-E72D297353CC}">
              <c16:uniqueId val="{00000005-2112-4335-B457-F6D65A225724}"/>
            </c:ext>
          </c:extLst>
        </c:ser>
        <c:ser>
          <c:idx val="6"/>
          <c:order val="6"/>
          <c:spPr>
            <a:ln w="25400">
              <a:solidFill>
                <a:srgbClr val="FF0000"/>
              </a:solidFill>
              <a:prstDash val="solid"/>
            </a:ln>
          </c:spPr>
          <c:marker>
            <c:symbol val="none"/>
          </c:marker>
          <c:xVal>
            <c:numRef>
              <c:f>'4 Agg Analysis'!$G$60:$G$61</c:f>
              <c:numCache>
                <c:formatCode>0.000</c:formatCode>
                <c:ptCount val="2"/>
                <c:pt idx="0">
                  <c:v>0.31172925995349998</c:v>
                </c:pt>
                <c:pt idx="1">
                  <c:v>3.116086507375345</c:v>
                </c:pt>
              </c:numCache>
            </c:numRef>
          </c:xVal>
          <c:yVal>
            <c:numRef>
              <c:f>'4 Agg Analysis'!$H$60:$H$61</c:f>
              <c:numCache>
                <c:formatCode>0.000</c:formatCode>
                <c:ptCount val="2"/>
                <c:pt idx="0">
                  <c:v>0</c:v>
                </c:pt>
                <c:pt idx="1">
                  <c:v>#N/A</c:v>
                </c:pt>
              </c:numCache>
            </c:numRef>
          </c:yVal>
          <c:smooth val="1"/>
          <c:extLst>
            <c:ext xmlns:c16="http://schemas.microsoft.com/office/drawing/2014/chart" uri="{C3380CC4-5D6E-409C-BE32-E72D297353CC}">
              <c16:uniqueId val="{00000006-2112-4335-B457-F6D65A225724}"/>
            </c:ext>
          </c:extLst>
        </c:ser>
        <c:dLbls>
          <c:showLegendKey val="0"/>
          <c:showVal val="0"/>
          <c:showCatName val="0"/>
          <c:showSerName val="0"/>
          <c:showPercent val="0"/>
          <c:showBubbleSize val="0"/>
        </c:dLbls>
        <c:axId val="242647176"/>
        <c:axId val="242647568"/>
      </c:scatterChart>
      <c:valAx>
        <c:axId val="242647176"/>
        <c:scaling>
          <c:orientation val="minMax"/>
          <c:max val="5.81"/>
          <c:min val="0"/>
        </c:scaling>
        <c:delete val="0"/>
        <c:axPos val="b"/>
        <c:title>
          <c:tx>
            <c:rich>
              <a:bodyPr/>
              <a:lstStyle/>
              <a:p>
                <a:pPr>
                  <a:defRPr sz="1000" b="1" i="0" u="none" strike="noStrike" baseline="0">
                    <a:solidFill>
                      <a:srgbClr val="000000"/>
                    </a:solidFill>
                    <a:latin typeface="Arial"/>
                    <a:ea typeface="Arial"/>
                    <a:cs typeface="Arial"/>
                  </a:defRPr>
                </a:pPr>
                <a:r>
                  <a:rPr lang="en-US"/>
                  <a:t>Sieve (^0.45)</a:t>
                </a:r>
              </a:p>
            </c:rich>
          </c:tx>
          <c:layout>
            <c:manualLayout>
              <c:xMode val="edge"/>
              <c:yMode val="edge"/>
              <c:x val="0.45530554525559647"/>
              <c:y val="0.9534126838796313"/>
            </c:manualLayout>
          </c:layout>
          <c:overlay val="0"/>
          <c:spPr>
            <a:noFill/>
            <a:ln w="25400">
              <a:noFill/>
            </a:ln>
          </c:spPr>
        </c:title>
        <c:numFmt formatCode="0.000" sourceLinked="1"/>
        <c:majorTickMark val="none"/>
        <c:minorTickMark val="none"/>
        <c:tickLblPos val="none"/>
        <c:spPr>
          <a:ln w="3175">
            <a:solidFill>
              <a:srgbClr val="000000"/>
            </a:solidFill>
            <a:prstDash val="solid"/>
          </a:ln>
        </c:spPr>
        <c:crossAx val="242647568"/>
        <c:crosses val="autoZero"/>
        <c:crossBetween val="midCat"/>
      </c:valAx>
      <c:valAx>
        <c:axId val="242647568"/>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 Passing</a:t>
                </a:r>
              </a:p>
            </c:rich>
          </c:tx>
          <c:layout>
            <c:manualLayout>
              <c:xMode val="edge"/>
              <c:yMode val="edge"/>
              <c:x val="1.4625166314044539E-2"/>
              <c:y val="0.35142858728282644"/>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125" b="1" i="0" u="none" strike="noStrike" baseline="0">
                <a:solidFill>
                  <a:srgbClr val="000000"/>
                </a:solidFill>
                <a:latin typeface="Arial"/>
                <a:ea typeface="Arial"/>
                <a:cs typeface="Arial"/>
              </a:defRPr>
            </a:pPr>
            <a:endParaRPr lang="en-US"/>
          </a:p>
        </c:txPr>
        <c:crossAx val="242647176"/>
        <c:crosses val="autoZero"/>
        <c:crossBetween val="midCat"/>
        <c:majorUnit val="20"/>
      </c:valAx>
      <c:spPr>
        <a:noFill/>
        <a:ln w="3175">
          <a:solidFill>
            <a:srgbClr val="000000"/>
          </a:solidFill>
          <a:prstDash val="solid"/>
        </a:ln>
      </c:spPr>
    </c:plotArea>
    <c:legend>
      <c:legendPos val="r"/>
      <c:legendEntry>
        <c:idx val="2"/>
        <c:delete val="1"/>
      </c:legendEntry>
      <c:legendEntry>
        <c:idx val="3"/>
        <c:delete val="1"/>
      </c:legendEntry>
      <c:legendEntry>
        <c:idx val="4"/>
        <c:delete val="1"/>
      </c:legendEntry>
      <c:legendEntry>
        <c:idx val="6"/>
        <c:delete val="1"/>
      </c:legendEntry>
      <c:layout>
        <c:manualLayout>
          <c:xMode val="edge"/>
          <c:yMode val="edge"/>
          <c:x val="0.71663678466784453"/>
          <c:y val="0.5371428254343471"/>
          <c:w val="0.22303487687307788"/>
          <c:h val="0.19999999999999996"/>
        </c:manualLayout>
      </c:layout>
      <c:overlay val="0"/>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Pumping</a:t>
            </a:r>
          </a:p>
        </c:rich>
      </c:tx>
      <c:overlay val="1"/>
    </c:title>
    <c:autoTitleDeleted val="0"/>
    <c:plotArea>
      <c:layout>
        <c:manualLayout>
          <c:layoutTarget val="inner"/>
          <c:xMode val="edge"/>
          <c:yMode val="edge"/>
          <c:x val="0.1288565179352581"/>
          <c:y val="0.13073665791776029"/>
          <c:w val="0.82600880338685356"/>
          <c:h val="0.67934782608695654"/>
        </c:manualLayout>
      </c:layout>
      <c:lineChart>
        <c:grouping val="standard"/>
        <c:varyColors val="0"/>
        <c:ser>
          <c:idx val="1"/>
          <c:order val="0"/>
          <c:spPr>
            <a:ln w="12700">
              <a:solidFill>
                <a:srgbClr val="FF0000"/>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Analysis'!$J$26:$J$38</c:f>
              <c:numCache>
                <c:formatCode>General</c:formatCode>
                <c:ptCount val="13"/>
                <c:pt idx="0">
                  <c:v>100</c:v>
                </c:pt>
                <c:pt idx="1">
                  <c:v>100</c:v>
                </c:pt>
                <c:pt idx="2">
                  <c:v>100</c:v>
                </c:pt>
                <c:pt idx="3">
                  <c:v>80</c:v>
                </c:pt>
                <c:pt idx="4">
                  <c:v>63</c:v>
                </c:pt>
                <c:pt idx="5">
                  <c:v>55</c:v>
                </c:pt>
                <c:pt idx="6">
                  <c:v>40</c:v>
                </c:pt>
                <c:pt idx="7">
                  <c:v>28</c:v>
                </c:pt>
                <c:pt idx="8">
                  <c:v>18</c:v>
                </c:pt>
                <c:pt idx="9">
                  <c:v>12</c:v>
                </c:pt>
                <c:pt idx="10">
                  <c:v>7</c:v>
                </c:pt>
                <c:pt idx="11">
                  <c:v>3</c:v>
                </c:pt>
                <c:pt idx="12">
                  <c:v>0</c:v>
                </c:pt>
              </c:numCache>
            </c:numRef>
          </c:val>
          <c:smooth val="0"/>
          <c:extLst>
            <c:ext xmlns:c16="http://schemas.microsoft.com/office/drawing/2014/chart" uri="{C3380CC4-5D6E-409C-BE32-E72D297353CC}">
              <c16:uniqueId val="{00000000-7D82-4F4F-B72D-C23E788265A9}"/>
            </c:ext>
          </c:extLst>
        </c:ser>
        <c:ser>
          <c:idx val="2"/>
          <c:order val="1"/>
          <c:spPr>
            <a:ln w="12700">
              <a:solidFill>
                <a:srgbClr val="FF0000"/>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Analysis'!$K$26:$K$38</c:f>
              <c:numCache>
                <c:formatCode>General</c:formatCode>
                <c:ptCount val="13"/>
                <c:pt idx="0">
                  <c:v>100</c:v>
                </c:pt>
                <c:pt idx="1">
                  <c:v>100</c:v>
                </c:pt>
                <c:pt idx="2">
                  <c:v>100</c:v>
                </c:pt>
                <c:pt idx="3">
                  <c:v>88</c:v>
                </c:pt>
                <c:pt idx="4">
                  <c:v>75</c:v>
                </c:pt>
                <c:pt idx="5">
                  <c:v>70</c:v>
                </c:pt>
                <c:pt idx="6">
                  <c:v>59</c:v>
                </c:pt>
                <c:pt idx="7">
                  <c:v>48</c:v>
                </c:pt>
                <c:pt idx="8">
                  <c:v>35</c:v>
                </c:pt>
                <c:pt idx="9">
                  <c:v>25</c:v>
                </c:pt>
                <c:pt idx="10">
                  <c:v>15</c:v>
                </c:pt>
                <c:pt idx="11">
                  <c:v>8</c:v>
                </c:pt>
                <c:pt idx="12">
                  <c:v>0</c:v>
                </c:pt>
              </c:numCache>
            </c:numRef>
          </c:val>
          <c:smooth val="0"/>
          <c:extLst>
            <c:ext xmlns:c16="http://schemas.microsoft.com/office/drawing/2014/chart" uri="{C3380CC4-5D6E-409C-BE32-E72D297353CC}">
              <c16:uniqueId val="{00000001-7D82-4F4F-B72D-C23E788265A9}"/>
            </c:ext>
          </c:extLst>
        </c:ser>
        <c:ser>
          <c:idx val="5"/>
          <c:order val="2"/>
          <c:tx>
            <c:v>Combined</c:v>
          </c:tx>
          <c:spPr>
            <a:ln w="25400">
              <a:solidFill>
                <a:srgbClr val="0000FF"/>
              </a:solidFill>
              <a:prstDash val="solid"/>
            </a:ln>
          </c:spPr>
          <c:marker>
            <c:symbol val="x"/>
            <c:size val="5"/>
            <c:spPr>
              <a:ln>
                <a:solidFill>
                  <a:srgbClr val="0000FF"/>
                </a:solid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System'!$L$27:$L$39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7D82-4F4F-B72D-C23E788265A9}"/>
            </c:ext>
          </c:extLst>
        </c:ser>
        <c:dLbls>
          <c:showLegendKey val="0"/>
          <c:showVal val="0"/>
          <c:showCatName val="0"/>
          <c:showSerName val="0"/>
          <c:showPercent val="0"/>
          <c:showBubbleSize val="0"/>
        </c:dLbls>
        <c:smooth val="0"/>
        <c:axId val="242943312"/>
        <c:axId val="242942920"/>
      </c:lineChart>
      <c:catAx>
        <c:axId val="242943312"/>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43772969514544752"/>
              <c:y val="0.91032608212109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1" i="0" u="none" strike="noStrike" baseline="0">
                <a:solidFill>
                  <a:srgbClr val="000000"/>
                </a:solidFill>
                <a:latin typeface="Arial"/>
                <a:ea typeface="Arial"/>
                <a:cs typeface="Arial"/>
              </a:defRPr>
            </a:pPr>
            <a:endParaRPr lang="en-US"/>
          </a:p>
        </c:txPr>
        <c:crossAx val="242942920"/>
        <c:crosses val="autoZero"/>
        <c:auto val="1"/>
        <c:lblAlgn val="ctr"/>
        <c:lblOffset val="100"/>
        <c:tickLblSkip val="1"/>
        <c:tickMarkSkip val="1"/>
        <c:noMultiLvlLbl val="0"/>
      </c:catAx>
      <c:valAx>
        <c:axId val="242942920"/>
        <c:scaling>
          <c:orientation val="minMax"/>
          <c:max val="1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Passing</a:t>
                </a:r>
              </a:p>
            </c:rich>
          </c:tx>
          <c:layout>
            <c:manualLayout>
              <c:xMode val="edge"/>
              <c:yMode val="edge"/>
              <c:x val="2.8451007335994358E-2"/>
              <c:y val="0.3465578984830285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42943312"/>
        <c:crosses val="max"/>
        <c:crossBetween val="midCat"/>
        <c:majorUnit val="2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IL Tollway</a:t>
            </a:r>
          </a:p>
        </c:rich>
      </c:tx>
      <c:overlay val="1"/>
    </c:title>
    <c:autoTitleDeleted val="0"/>
    <c:plotArea>
      <c:layout>
        <c:manualLayout>
          <c:layoutTarget val="inner"/>
          <c:xMode val="edge"/>
          <c:yMode val="edge"/>
          <c:x val="0.1288565179352581"/>
          <c:y val="0.13073665791776029"/>
          <c:w val="0.82600880338685356"/>
          <c:h val="0.67934782608695654"/>
        </c:manualLayout>
      </c:layout>
      <c:lineChart>
        <c:grouping val="standard"/>
        <c:varyColors val="0"/>
        <c:ser>
          <c:idx val="1"/>
          <c:order val="0"/>
          <c:spPr>
            <a:ln w="12700">
              <a:solidFill>
                <a:srgbClr val="FF0000"/>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Analysis'!$L$26:$L$38</c:f>
              <c:numCache>
                <c:formatCode>General</c:formatCode>
                <c:ptCount val="13"/>
                <c:pt idx="0">
                  <c:v>100</c:v>
                </c:pt>
                <c:pt idx="1">
                  <c:v>100</c:v>
                </c:pt>
                <c:pt idx="2">
                  <c:v>100</c:v>
                </c:pt>
                <c:pt idx="3">
                  <c:v>88</c:v>
                </c:pt>
                <c:pt idx="4">
                  <c:v>66</c:v>
                </c:pt>
                <c:pt idx="5">
                  <c:v>50</c:v>
                </c:pt>
                <c:pt idx="6">
                  <c:v>40</c:v>
                </c:pt>
                <c:pt idx="7">
                  <c:v>33</c:v>
                </c:pt>
                <c:pt idx="8">
                  <c:v>25</c:v>
                </c:pt>
                <c:pt idx="9">
                  <c:v>15</c:v>
                </c:pt>
                <c:pt idx="10">
                  <c:v>5</c:v>
                </c:pt>
                <c:pt idx="11">
                  <c:v>1</c:v>
                </c:pt>
                <c:pt idx="12">
                  <c:v>1</c:v>
                </c:pt>
              </c:numCache>
            </c:numRef>
          </c:val>
          <c:smooth val="0"/>
          <c:extLst>
            <c:ext xmlns:c16="http://schemas.microsoft.com/office/drawing/2014/chart" uri="{C3380CC4-5D6E-409C-BE32-E72D297353CC}">
              <c16:uniqueId val="{00000000-B31E-48A6-9E8C-9EAE40E6EF95}"/>
            </c:ext>
          </c:extLst>
        </c:ser>
        <c:ser>
          <c:idx val="2"/>
          <c:order val="1"/>
          <c:spPr>
            <a:ln w="12700">
              <a:solidFill>
                <a:srgbClr val="FF0000"/>
              </a:solidFill>
              <a:prstDash val="solid"/>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Analysis'!$M$26:$M$38</c:f>
              <c:numCache>
                <c:formatCode>General</c:formatCode>
                <c:ptCount val="13"/>
                <c:pt idx="0">
                  <c:v>100</c:v>
                </c:pt>
                <c:pt idx="1">
                  <c:v>100</c:v>
                </c:pt>
                <c:pt idx="2">
                  <c:v>100</c:v>
                </c:pt>
                <c:pt idx="3">
                  <c:v>98</c:v>
                </c:pt>
                <c:pt idx="4">
                  <c:v>86</c:v>
                </c:pt>
                <c:pt idx="5">
                  <c:v>75</c:v>
                </c:pt>
                <c:pt idx="6">
                  <c:v>52</c:v>
                </c:pt>
                <c:pt idx="7">
                  <c:v>43</c:v>
                </c:pt>
                <c:pt idx="8">
                  <c:v>35</c:v>
                </c:pt>
                <c:pt idx="9">
                  <c:v>25</c:v>
                </c:pt>
                <c:pt idx="10">
                  <c:v>15</c:v>
                </c:pt>
                <c:pt idx="11">
                  <c:v>8</c:v>
                </c:pt>
                <c:pt idx="12">
                  <c:v>6</c:v>
                </c:pt>
              </c:numCache>
            </c:numRef>
          </c:val>
          <c:smooth val="0"/>
          <c:extLst>
            <c:ext xmlns:c16="http://schemas.microsoft.com/office/drawing/2014/chart" uri="{C3380CC4-5D6E-409C-BE32-E72D297353CC}">
              <c16:uniqueId val="{00000001-B31E-48A6-9E8C-9EAE40E6EF95}"/>
            </c:ext>
          </c:extLst>
        </c:ser>
        <c:ser>
          <c:idx val="5"/>
          <c:order val="2"/>
          <c:tx>
            <c:v>Combined</c:v>
          </c:tx>
          <c:spPr>
            <a:ln w="25400">
              <a:solidFill>
                <a:srgbClr val="0000FF"/>
              </a:solidFill>
              <a:prstDash val="solid"/>
            </a:ln>
          </c:spPr>
          <c:marker>
            <c:symbol val="x"/>
            <c:size val="5"/>
            <c:spPr>
              <a:ln>
                <a:solidFill>
                  <a:srgbClr val="0000FF"/>
                </a:solid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System'!$L$27:$L$39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B31E-48A6-9E8C-9EAE40E6EF95}"/>
            </c:ext>
          </c:extLst>
        </c:ser>
        <c:dLbls>
          <c:showLegendKey val="0"/>
          <c:showVal val="0"/>
          <c:showCatName val="0"/>
          <c:showSerName val="0"/>
          <c:showPercent val="0"/>
          <c:showBubbleSize val="0"/>
        </c:dLbls>
        <c:smooth val="0"/>
        <c:axId val="242944096"/>
        <c:axId val="242944488"/>
      </c:lineChart>
      <c:catAx>
        <c:axId val="242944096"/>
        <c:scaling>
          <c:orientation val="maxMin"/>
        </c:scaling>
        <c:delete val="0"/>
        <c:axPos val="b"/>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43772976845860839"/>
              <c:y val="0.910326114098316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1" i="0" u="none" strike="noStrike" baseline="0">
                <a:solidFill>
                  <a:srgbClr val="000000"/>
                </a:solidFill>
                <a:latin typeface="Arial"/>
                <a:ea typeface="Arial"/>
                <a:cs typeface="Arial"/>
              </a:defRPr>
            </a:pPr>
            <a:endParaRPr lang="en-US"/>
          </a:p>
        </c:txPr>
        <c:crossAx val="242944488"/>
        <c:crosses val="autoZero"/>
        <c:auto val="1"/>
        <c:lblAlgn val="ctr"/>
        <c:lblOffset val="100"/>
        <c:tickLblSkip val="1"/>
        <c:tickMarkSkip val="1"/>
        <c:noMultiLvlLbl val="0"/>
      </c:catAx>
      <c:valAx>
        <c:axId val="242944488"/>
        <c:scaling>
          <c:orientation val="minMax"/>
          <c:max val="10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Passing</a:t>
                </a:r>
              </a:p>
            </c:rich>
          </c:tx>
          <c:layout>
            <c:manualLayout>
              <c:xMode val="edge"/>
              <c:yMode val="edge"/>
              <c:x val="2.8451004905723831E-2"/>
              <c:y val="0.346557906477335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42944096"/>
        <c:crosses val="max"/>
        <c:crossBetween val="midCat"/>
        <c:majorUnit val="2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Tarantula</a:t>
            </a:r>
          </a:p>
        </c:rich>
      </c:tx>
      <c:overlay val="1"/>
    </c:title>
    <c:autoTitleDeleted val="0"/>
    <c:plotArea>
      <c:layout>
        <c:manualLayout>
          <c:layoutTarget val="inner"/>
          <c:xMode val="edge"/>
          <c:yMode val="edge"/>
          <c:x val="0.15482723351269623"/>
          <c:y val="0.12683727034120734"/>
          <c:w val="0.7941726330768889"/>
          <c:h val="0.68202810586176732"/>
        </c:manualLayout>
      </c:layout>
      <c:lineChart>
        <c:grouping val="standard"/>
        <c:varyColors val="0"/>
        <c:ser>
          <c:idx val="0"/>
          <c:order val="0"/>
          <c:spPr>
            <a:ln w="25400">
              <a:solidFill>
                <a:srgbClr val="FF0000"/>
              </a:solidFill>
              <a:prstDash val="solid"/>
            </a:ln>
          </c:spPr>
          <c:marker>
            <c:symbol val="diamond"/>
            <c:size val="9"/>
            <c:spPr>
              <a:solidFill>
                <a:srgbClr val="FF0000"/>
              </a:solidFill>
              <a:ln w="9525">
                <a:no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System'!$O$27:$O$39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3834-43DB-907E-CF392A96A6C4}"/>
            </c:ext>
          </c:extLst>
        </c:ser>
        <c:ser>
          <c:idx val="1"/>
          <c:order val="1"/>
          <c:spPr>
            <a:ln w="12700">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Analysis'!$Q$26:$Q$38</c:f>
              <c:numCache>
                <c:formatCode>0</c:formatCode>
                <c:ptCount val="13"/>
                <c:pt idx="1">
                  <c:v>0</c:v>
                </c:pt>
                <c:pt idx="2">
                  <c:v>0</c:v>
                </c:pt>
                <c:pt idx="3">
                  <c:v>0</c:v>
                </c:pt>
                <c:pt idx="4">
                  <c:v>4</c:v>
                </c:pt>
                <c:pt idx="5">
                  <c:v>4</c:v>
                </c:pt>
                <c:pt idx="6">
                  <c:v>4</c:v>
                </c:pt>
                <c:pt idx="7">
                  <c:v>0</c:v>
                </c:pt>
                <c:pt idx="8">
                  <c:v>0</c:v>
                </c:pt>
                <c:pt idx="9">
                  <c:v>4</c:v>
                </c:pt>
                <c:pt idx="10">
                  <c:v>4</c:v>
                </c:pt>
                <c:pt idx="11">
                  <c:v>0</c:v>
                </c:pt>
                <c:pt idx="12">
                  <c:v>0</c:v>
                </c:pt>
              </c:numCache>
            </c:numRef>
          </c:val>
          <c:smooth val="0"/>
          <c:extLst>
            <c:ext xmlns:c16="http://schemas.microsoft.com/office/drawing/2014/chart" uri="{C3380CC4-5D6E-409C-BE32-E72D297353CC}">
              <c16:uniqueId val="{00000001-3834-43DB-907E-CF392A96A6C4}"/>
            </c:ext>
          </c:extLst>
        </c:ser>
        <c:ser>
          <c:idx val="2"/>
          <c:order val="2"/>
          <c:spPr>
            <a:ln w="12700">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Analysis'!$P$26:$P$38</c:f>
              <c:numCache>
                <c:formatCode>0</c:formatCode>
                <c:ptCount val="13"/>
                <c:pt idx="0">
                  <c:v>0</c:v>
                </c:pt>
                <c:pt idx="1">
                  <c:v>5</c:v>
                </c:pt>
                <c:pt idx="2">
                  <c:v>16</c:v>
                </c:pt>
                <c:pt idx="3">
                  <c:v>20</c:v>
                </c:pt>
                <c:pt idx="4">
                  <c:v>20</c:v>
                </c:pt>
                <c:pt idx="5">
                  <c:v>20</c:v>
                </c:pt>
                <c:pt idx="6">
                  <c:v>20</c:v>
                </c:pt>
                <c:pt idx="7">
                  <c:v>12</c:v>
                </c:pt>
                <c:pt idx="8">
                  <c:v>12</c:v>
                </c:pt>
                <c:pt idx="9">
                  <c:v>20</c:v>
                </c:pt>
                <c:pt idx="10">
                  <c:v>20</c:v>
                </c:pt>
                <c:pt idx="11">
                  <c:v>10</c:v>
                </c:pt>
                <c:pt idx="12">
                  <c:v>5</c:v>
                </c:pt>
              </c:numCache>
            </c:numRef>
          </c:val>
          <c:smooth val="0"/>
          <c:extLst>
            <c:ext xmlns:c16="http://schemas.microsoft.com/office/drawing/2014/chart" uri="{C3380CC4-5D6E-409C-BE32-E72D297353CC}">
              <c16:uniqueId val="{00000002-3834-43DB-907E-CF392A96A6C4}"/>
            </c:ext>
          </c:extLst>
        </c:ser>
        <c:ser>
          <c:idx val="3"/>
          <c:order val="3"/>
          <c:tx>
            <c:v>Lower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System'!$N$53:$N$65</c:f>
              <c:numCache>
                <c:formatCode>0.0</c:formatCode>
                <c:ptCount val="13"/>
              </c:numCache>
            </c:numRef>
          </c:val>
          <c:smooth val="0"/>
          <c:extLst>
            <c:ext xmlns:c16="http://schemas.microsoft.com/office/drawing/2014/chart" uri="{C3380CC4-5D6E-409C-BE32-E72D297353CC}">
              <c16:uniqueId val="{00000003-3834-43DB-907E-CF392A96A6C4}"/>
            </c:ext>
          </c:extLst>
        </c:ser>
        <c:ser>
          <c:idx val="4"/>
          <c:order val="4"/>
          <c:tx>
            <c:v>Upper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System'!$O$53:$O$65</c:f>
              <c:numCache>
                <c:formatCode>0.0;[Red]0.0</c:formatCode>
                <c:ptCount val="13"/>
              </c:numCache>
            </c:numRef>
          </c:val>
          <c:smooth val="0"/>
          <c:extLst>
            <c:ext xmlns:c16="http://schemas.microsoft.com/office/drawing/2014/chart" uri="{C3380CC4-5D6E-409C-BE32-E72D297353CC}">
              <c16:uniqueId val="{00000004-3834-43DB-907E-CF392A96A6C4}"/>
            </c:ext>
          </c:extLst>
        </c:ser>
        <c:dLbls>
          <c:showLegendKey val="0"/>
          <c:showVal val="0"/>
          <c:showCatName val="0"/>
          <c:showSerName val="0"/>
          <c:showPercent val="0"/>
          <c:showBubbleSize val="0"/>
        </c:dLbls>
        <c:marker val="1"/>
        <c:smooth val="0"/>
        <c:axId val="241588800"/>
        <c:axId val="241589192"/>
      </c:lineChart>
      <c:catAx>
        <c:axId val="24158880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50819770104914164"/>
              <c:y val="0.908588392624283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75" b="1" i="0" u="none" strike="noStrike" baseline="0">
                <a:solidFill>
                  <a:srgbClr val="000000"/>
                </a:solidFill>
                <a:latin typeface="Arial"/>
                <a:ea typeface="Arial"/>
                <a:cs typeface="Arial"/>
              </a:defRPr>
            </a:pPr>
            <a:endParaRPr lang="en-US"/>
          </a:p>
        </c:txPr>
        <c:crossAx val="241589192"/>
        <c:crosses val="autoZero"/>
        <c:auto val="0"/>
        <c:lblAlgn val="ctr"/>
        <c:lblOffset val="100"/>
        <c:tickLblSkip val="1"/>
        <c:tickMarkSkip val="1"/>
        <c:noMultiLvlLbl val="0"/>
      </c:catAx>
      <c:valAx>
        <c:axId val="24158919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Retained, % Vol</a:t>
                </a:r>
              </a:p>
            </c:rich>
          </c:tx>
          <c:layout>
            <c:manualLayout>
              <c:xMode val="edge"/>
              <c:yMode val="edge"/>
              <c:x val="9.1075388429631889E-3"/>
              <c:y val="0.26038809630825743"/>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241588800"/>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Shilstone Chart</a:t>
            </a:r>
          </a:p>
        </c:rich>
      </c:tx>
      <c:overlay val="1"/>
    </c:title>
    <c:autoTitleDeleted val="0"/>
    <c:plotArea>
      <c:layout>
        <c:manualLayout>
          <c:layoutTarget val="inner"/>
          <c:xMode val="edge"/>
          <c:yMode val="edge"/>
          <c:x val="0.13913342082239721"/>
          <c:y val="0.16388910761154857"/>
          <c:w val="0.80036773188482269"/>
          <c:h val="0.67816282261029159"/>
        </c:manualLayout>
      </c:layout>
      <c:scatterChart>
        <c:scatterStyle val="lineMarker"/>
        <c:varyColors val="0"/>
        <c:ser>
          <c:idx val="0"/>
          <c:order val="0"/>
          <c:spPr>
            <a:ln w="25400">
              <a:solidFill>
                <a:srgbClr val="000000"/>
              </a:solidFill>
              <a:prstDash val="solid"/>
            </a:ln>
          </c:spPr>
          <c:marker>
            <c:symbol val="none"/>
          </c:marker>
          <c:xVal>
            <c:numRef>
              <c:f>'4 Agg Analysis'!$C$44:$C$45</c:f>
              <c:numCache>
                <c:formatCode>General</c:formatCode>
                <c:ptCount val="2"/>
                <c:pt idx="0">
                  <c:v>100</c:v>
                </c:pt>
                <c:pt idx="1">
                  <c:v>35</c:v>
                </c:pt>
              </c:numCache>
            </c:numRef>
          </c:xVal>
          <c:yVal>
            <c:numRef>
              <c:f>'4 Agg Analysis'!$D$44:$D$45</c:f>
              <c:numCache>
                <c:formatCode>General</c:formatCode>
                <c:ptCount val="2"/>
                <c:pt idx="0">
                  <c:v>36</c:v>
                </c:pt>
                <c:pt idx="1">
                  <c:v>45</c:v>
                </c:pt>
              </c:numCache>
            </c:numRef>
          </c:yVal>
          <c:smooth val="0"/>
          <c:extLst>
            <c:ext xmlns:c16="http://schemas.microsoft.com/office/drawing/2014/chart" uri="{C3380CC4-5D6E-409C-BE32-E72D297353CC}">
              <c16:uniqueId val="{00000000-B82E-4F4E-8EA2-9B0C0FE0B393}"/>
            </c:ext>
          </c:extLst>
        </c:ser>
        <c:ser>
          <c:idx val="1"/>
          <c:order val="1"/>
          <c:spPr>
            <a:ln w="25400">
              <a:solidFill>
                <a:srgbClr val="000000"/>
              </a:solidFill>
              <a:prstDash val="solid"/>
            </a:ln>
          </c:spPr>
          <c:marker>
            <c:symbol val="none"/>
          </c:marker>
          <c:xVal>
            <c:numRef>
              <c:f>'4 Agg Analysis'!$C$46:$C$49</c:f>
              <c:numCache>
                <c:formatCode>General</c:formatCode>
                <c:ptCount val="4"/>
                <c:pt idx="0">
                  <c:v>100</c:v>
                </c:pt>
                <c:pt idx="1">
                  <c:v>85</c:v>
                </c:pt>
                <c:pt idx="2">
                  <c:v>15</c:v>
                </c:pt>
                <c:pt idx="3">
                  <c:v>0</c:v>
                </c:pt>
              </c:numCache>
            </c:numRef>
          </c:xVal>
          <c:yVal>
            <c:numRef>
              <c:f>'4 Agg Analysis'!$D$46:$D$49</c:f>
              <c:numCache>
                <c:formatCode>General</c:formatCode>
                <c:ptCount val="4"/>
                <c:pt idx="0">
                  <c:v>27</c:v>
                </c:pt>
                <c:pt idx="1">
                  <c:v>27</c:v>
                </c:pt>
                <c:pt idx="2">
                  <c:v>37</c:v>
                </c:pt>
                <c:pt idx="3">
                  <c:v>37</c:v>
                </c:pt>
              </c:numCache>
            </c:numRef>
          </c:yVal>
          <c:smooth val="0"/>
          <c:extLst>
            <c:ext xmlns:c16="http://schemas.microsoft.com/office/drawing/2014/chart" uri="{C3380CC4-5D6E-409C-BE32-E72D297353CC}">
              <c16:uniqueId val="{00000001-B82E-4F4E-8EA2-9B0C0FE0B393}"/>
            </c:ext>
          </c:extLst>
        </c:ser>
        <c:ser>
          <c:idx val="2"/>
          <c:order val="2"/>
          <c:spPr>
            <a:ln w="25400">
              <a:solidFill>
                <a:srgbClr val="000000"/>
              </a:solidFill>
              <a:prstDash val="solid"/>
            </a:ln>
          </c:spPr>
          <c:marker>
            <c:symbol val="none"/>
          </c:marker>
          <c:xVal>
            <c:numRef>
              <c:f>'4 Agg Analysis'!$C$50:$C$51</c:f>
              <c:numCache>
                <c:formatCode>General</c:formatCode>
                <c:ptCount val="2"/>
                <c:pt idx="0">
                  <c:v>75</c:v>
                </c:pt>
                <c:pt idx="1">
                  <c:v>75</c:v>
                </c:pt>
              </c:numCache>
            </c:numRef>
          </c:xVal>
          <c:yVal>
            <c:numRef>
              <c:f>'4 Agg Analysis'!$D$50:$D$51</c:f>
              <c:numCache>
                <c:formatCode>0.00</c:formatCode>
                <c:ptCount val="2"/>
                <c:pt idx="0">
                  <c:v>28.428571428571427</c:v>
                </c:pt>
                <c:pt idx="1">
                  <c:v>39.46153846153846</c:v>
                </c:pt>
              </c:numCache>
            </c:numRef>
          </c:yVal>
          <c:smooth val="0"/>
          <c:extLst>
            <c:ext xmlns:c16="http://schemas.microsoft.com/office/drawing/2014/chart" uri="{C3380CC4-5D6E-409C-BE32-E72D297353CC}">
              <c16:uniqueId val="{00000002-B82E-4F4E-8EA2-9B0C0FE0B393}"/>
            </c:ext>
          </c:extLst>
        </c:ser>
        <c:ser>
          <c:idx val="3"/>
          <c:order val="3"/>
          <c:spPr>
            <a:ln w="25400">
              <a:solidFill>
                <a:srgbClr val="000000"/>
              </a:solidFill>
              <a:prstDash val="solid"/>
            </a:ln>
          </c:spPr>
          <c:marker>
            <c:symbol val="none"/>
          </c:marker>
          <c:xVal>
            <c:numRef>
              <c:f>'4 Agg Analysis'!$C$52:$C$53</c:f>
              <c:numCache>
                <c:formatCode>General</c:formatCode>
                <c:ptCount val="2"/>
                <c:pt idx="0">
                  <c:v>45</c:v>
                </c:pt>
                <c:pt idx="1">
                  <c:v>45</c:v>
                </c:pt>
              </c:numCache>
            </c:numRef>
          </c:xVal>
          <c:yVal>
            <c:numRef>
              <c:f>'4 Agg Analysis'!$D$52:$D$53</c:f>
              <c:numCache>
                <c:formatCode>0.00</c:formatCode>
                <c:ptCount val="2"/>
                <c:pt idx="0">
                  <c:v>32.714285714285715</c:v>
                </c:pt>
                <c:pt idx="1">
                  <c:v>43.615384615384613</c:v>
                </c:pt>
              </c:numCache>
            </c:numRef>
          </c:yVal>
          <c:smooth val="0"/>
          <c:extLst>
            <c:ext xmlns:c16="http://schemas.microsoft.com/office/drawing/2014/chart" uri="{C3380CC4-5D6E-409C-BE32-E72D297353CC}">
              <c16:uniqueId val="{00000003-B82E-4F4E-8EA2-9B0C0FE0B393}"/>
            </c:ext>
          </c:extLst>
        </c:ser>
        <c:ser>
          <c:idx val="4"/>
          <c:order val="4"/>
          <c:spPr>
            <a:ln w="12700">
              <a:solidFill>
                <a:srgbClr val="800080"/>
              </a:solidFill>
              <a:prstDash val="solid"/>
            </a:ln>
          </c:spPr>
          <c:marker>
            <c:symbol val="circle"/>
            <c:size val="10"/>
            <c:spPr>
              <a:solidFill>
                <a:srgbClr val="FF0000"/>
              </a:solidFill>
              <a:ln>
                <a:solidFill>
                  <a:srgbClr val="000000"/>
                </a:solidFill>
                <a:prstDash val="solid"/>
              </a:ln>
            </c:spPr>
          </c:marker>
          <c:xVal>
            <c:numRef>
              <c:f>Data_Charts!$J$2</c:f>
              <c:numCache>
                <c:formatCode>0.00;[Red]0.00</c:formatCode>
                <c:ptCount val="1"/>
                <c:pt idx="0">
                  <c:v>100</c:v>
                </c:pt>
              </c:numCache>
            </c:numRef>
          </c:xVal>
          <c:yVal>
            <c:numRef>
              <c:f>Data_Charts!$J$3</c:f>
              <c:numCache>
                <c:formatCode>0.00;[Red]0.00</c:formatCode>
                <c:ptCount val="1"/>
                <c:pt idx="0">
                  <c:v>0</c:v>
                </c:pt>
              </c:numCache>
            </c:numRef>
          </c:yVal>
          <c:smooth val="0"/>
          <c:extLst>
            <c:ext xmlns:c16="http://schemas.microsoft.com/office/drawing/2014/chart" uri="{C3380CC4-5D6E-409C-BE32-E72D297353CC}">
              <c16:uniqueId val="{00000004-B82E-4F4E-8EA2-9B0C0FE0B393}"/>
            </c:ext>
          </c:extLst>
        </c:ser>
        <c:dLbls>
          <c:showLegendKey val="0"/>
          <c:showVal val="0"/>
          <c:showCatName val="0"/>
          <c:showSerName val="0"/>
          <c:showPercent val="0"/>
          <c:showBubbleSize val="0"/>
        </c:dLbls>
        <c:axId val="242648352"/>
        <c:axId val="242648744"/>
      </c:scatterChart>
      <c:valAx>
        <c:axId val="242648352"/>
        <c:scaling>
          <c:orientation val="maxMin"/>
          <c:max val="100"/>
          <c:min val="0"/>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Coarseness Factor</a:t>
                </a:r>
              </a:p>
            </c:rich>
          </c:tx>
          <c:layout>
            <c:manualLayout>
              <c:xMode val="edge"/>
              <c:yMode val="edge"/>
              <c:x val="0.4084460333823175"/>
              <c:y val="0.93745445667071747"/>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242648744"/>
        <c:crosses val="autoZero"/>
        <c:crossBetween val="midCat"/>
        <c:minorUnit val="10"/>
      </c:valAx>
      <c:valAx>
        <c:axId val="242648744"/>
        <c:scaling>
          <c:orientation val="minMax"/>
          <c:max val="45"/>
          <c:min val="2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Workability Factor</a:t>
                </a:r>
              </a:p>
            </c:rich>
          </c:tx>
          <c:layout>
            <c:manualLayout>
              <c:xMode val="edge"/>
              <c:yMode val="edge"/>
              <c:x val="3.856322973555882E-2"/>
              <c:y val="0.332184692558250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242648352"/>
        <c:crosses val="max"/>
        <c:crossBetween val="midCat"/>
      </c:valAx>
      <c:spPr>
        <a:noFill/>
        <a:ln w="254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Times New Roman"/>
                <a:ea typeface="Times New Roman"/>
                <a:cs typeface="Times New Roman"/>
              </a:defRPr>
            </a:pPr>
            <a:r>
              <a:rPr lang="en-US" sz="1600"/>
              <a:t>Tarantula</a:t>
            </a:r>
          </a:p>
        </c:rich>
      </c:tx>
      <c:overlay val="1"/>
    </c:title>
    <c:autoTitleDeleted val="0"/>
    <c:plotArea>
      <c:layout>
        <c:manualLayout>
          <c:layoutTarget val="inner"/>
          <c:xMode val="edge"/>
          <c:yMode val="edge"/>
          <c:x val="0.15482723351269623"/>
          <c:y val="0.12683727034120734"/>
          <c:w val="0.7941726330768889"/>
          <c:h val="0.68202810586176732"/>
        </c:manualLayout>
      </c:layout>
      <c:lineChart>
        <c:grouping val="standard"/>
        <c:varyColors val="0"/>
        <c:ser>
          <c:idx val="0"/>
          <c:order val="0"/>
          <c:spPr>
            <a:ln w="25400">
              <a:solidFill>
                <a:srgbClr val="FF0000"/>
              </a:solidFill>
              <a:prstDash val="solid"/>
            </a:ln>
          </c:spPr>
          <c:marker>
            <c:symbol val="diamond"/>
            <c:size val="9"/>
            <c:spPr>
              <a:solidFill>
                <a:srgbClr val="FF0000"/>
              </a:solidFill>
              <a:ln w="9525">
                <a:noFill/>
              </a:ln>
            </c:spPr>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'1 Aggregate System'!$O$27:$O$39</c:f>
              <c:numCache>
                <c:formatCode>0.0;[Red]0.0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BDBD-40CC-A0A3-9D96EAA0FE02}"/>
            </c:ext>
          </c:extLst>
        </c:ser>
        <c:ser>
          <c:idx val="1"/>
          <c:order val="1"/>
          <c:spPr>
            <a:ln w="28575">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Analysis'!$Q$26:$Q$38</c:f>
              <c:numCache>
                <c:formatCode>0</c:formatCode>
                <c:ptCount val="13"/>
                <c:pt idx="1">
                  <c:v>0</c:v>
                </c:pt>
                <c:pt idx="2">
                  <c:v>0</c:v>
                </c:pt>
                <c:pt idx="3">
                  <c:v>0</c:v>
                </c:pt>
                <c:pt idx="4">
                  <c:v>4</c:v>
                </c:pt>
                <c:pt idx="5">
                  <c:v>4</c:v>
                </c:pt>
                <c:pt idx="6">
                  <c:v>4</c:v>
                </c:pt>
                <c:pt idx="7">
                  <c:v>0</c:v>
                </c:pt>
                <c:pt idx="8">
                  <c:v>0</c:v>
                </c:pt>
                <c:pt idx="9">
                  <c:v>4</c:v>
                </c:pt>
                <c:pt idx="10">
                  <c:v>4</c:v>
                </c:pt>
                <c:pt idx="11">
                  <c:v>0</c:v>
                </c:pt>
                <c:pt idx="12">
                  <c:v>0</c:v>
                </c:pt>
              </c:numCache>
            </c:numRef>
          </c:val>
          <c:smooth val="0"/>
          <c:extLst>
            <c:ext xmlns:c16="http://schemas.microsoft.com/office/drawing/2014/chart" uri="{C3380CC4-5D6E-409C-BE32-E72D297353CC}">
              <c16:uniqueId val="{00000001-BDBD-40CC-A0A3-9D96EAA0FE02}"/>
            </c:ext>
          </c:extLst>
        </c:ser>
        <c:ser>
          <c:idx val="2"/>
          <c:order val="2"/>
          <c:spPr>
            <a:ln w="28575">
              <a:solidFill>
                <a:srgbClr val="0000FF"/>
              </a:solidFill>
              <a:prstDash val="dash"/>
            </a:ln>
          </c:spPr>
          <c:marker>
            <c:symbol val="none"/>
          </c:marker>
          <c:cat>
            <c:strRef>
              <c:f>'1 Aggregate System'!$A$27:$A$39</c:f>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f>'4 Agg Analysis'!$P$26:$P$38</c:f>
              <c:numCache>
                <c:formatCode>0</c:formatCode>
                <c:ptCount val="13"/>
                <c:pt idx="0">
                  <c:v>0</c:v>
                </c:pt>
                <c:pt idx="1">
                  <c:v>5</c:v>
                </c:pt>
                <c:pt idx="2">
                  <c:v>16</c:v>
                </c:pt>
                <c:pt idx="3">
                  <c:v>20</c:v>
                </c:pt>
                <c:pt idx="4">
                  <c:v>20</c:v>
                </c:pt>
                <c:pt idx="5">
                  <c:v>20</c:v>
                </c:pt>
                <c:pt idx="6">
                  <c:v>20</c:v>
                </c:pt>
                <c:pt idx="7">
                  <c:v>12</c:v>
                </c:pt>
                <c:pt idx="8">
                  <c:v>12</c:v>
                </c:pt>
                <c:pt idx="9">
                  <c:v>20</c:v>
                </c:pt>
                <c:pt idx="10">
                  <c:v>20</c:v>
                </c:pt>
                <c:pt idx="11">
                  <c:v>10</c:v>
                </c:pt>
                <c:pt idx="12">
                  <c:v>5</c:v>
                </c:pt>
              </c:numCache>
            </c:numRef>
          </c:val>
          <c:smooth val="0"/>
          <c:extLst>
            <c:ext xmlns:c16="http://schemas.microsoft.com/office/drawing/2014/chart" uri="{C3380CC4-5D6E-409C-BE32-E72D297353CC}">
              <c16:uniqueId val="{00000002-BDBD-40CC-A0A3-9D96EAA0FE02}"/>
            </c:ext>
          </c:extLst>
        </c:ser>
        <c:dLbls>
          <c:showLegendKey val="0"/>
          <c:showVal val="0"/>
          <c:showCatName val="0"/>
          <c:showSerName val="0"/>
          <c:showPercent val="0"/>
          <c:showBubbleSize val="0"/>
        </c:dLbls>
        <c:marker val="1"/>
        <c:smooth val="0"/>
        <c:axId val="241588800"/>
        <c:axId val="241589192"/>
        <c:extLst>
          <c:ext xmlns:c15="http://schemas.microsoft.com/office/drawing/2012/chart" uri="{02D57815-91ED-43cb-92C2-25804820EDAC}">
            <c15:filteredLineSeries>
              <c15:ser>
                <c:idx val="3"/>
                <c:order val="3"/>
                <c:tx>
                  <c:v>Lower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extLst>
                      <c:ext uri="{02D57815-91ED-43cb-92C2-25804820EDAC}">
                        <c15:formulaRef>
                          <c15:sqref>'1 Aggregate System'!$A$27:$A$39</c15:sqref>
                        </c15:formulaRef>
                      </c:ext>
                    </c:extLst>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extLst>
                      <c:ext uri="{02D57815-91ED-43cb-92C2-25804820EDAC}">
                        <c15:formulaRef>
                          <c15:sqref>'1 Aggregate System'!$N$53:$N$65</c15:sqref>
                        </c15:formulaRef>
                      </c:ext>
                    </c:extLst>
                    <c:numCache>
                      <c:formatCode>0.0</c:formatCode>
                      <c:ptCount val="13"/>
                    </c:numCache>
                  </c:numRef>
                </c:val>
                <c:smooth val="0"/>
                <c:extLst>
                  <c:ext xmlns:c16="http://schemas.microsoft.com/office/drawing/2014/chart" uri="{C3380CC4-5D6E-409C-BE32-E72D297353CC}">
                    <c16:uniqueId val="{00000003-BDBD-40CC-A0A3-9D96EAA0FE02}"/>
                  </c:ext>
                </c:extLst>
              </c15:ser>
            </c15:filteredLineSeries>
            <c15:filteredLineSeries>
              <c15:ser>
                <c:idx val="4"/>
                <c:order val="4"/>
                <c:tx>
                  <c:v>Upper Band</c:v>
                </c:tx>
                <c:spPr>
                  <a:ln>
                    <a:solidFill>
                      <a:schemeClr val="accent5">
                        <a:lumMod val="40000"/>
                        <a:lumOff val="60000"/>
                      </a:schemeClr>
                    </a:solidFill>
                    <a:prstDash val="sysDot"/>
                  </a:ln>
                </c:spPr>
                <c:marker>
                  <c:spPr>
                    <a:ln>
                      <a:solidFill>
                        <a:schemeClr val="accent5">
                          <a:lumMod val="40000"/>
                          <a:lumOff val="60000"/>
                        </a:schemeClr>
                      </a:solidFill>
                      <a:prstDash val="sysDot"/>
                    </a:ln>
                  </c:spPr>
                </c:marker>
                <c:cat>
                  <c:strRef>
                    <c:extLst xmlns:c15="http://schemas.microsoft.com/office/drawing/2012/chart">
                      <c:ext xmlns:c15="http://schemas.microsoft.com/office/drawing/2012/chart" uri="{02D57815-91ED-43cb-92C2-25804820EDAC}">
                        <c15:formulaRef>
                          <c15:sqref>'1 Aggregate System'!$A$27:$A$39</c15:sqref>
                        </c15:formulaRef>
                      </c:ext>
                    </c:extLst>
                    <c:strCache>
                      <c:ptCount val="13"/>
                      <c:pt idx="0">
                        <c:v>2"</c:v>
                      </c:pt>
                      <c:pt idx="1">
                        <c:v>1 1/2"</c:v>
                      </c:pt>
                      <c:pt idx="2">
                        <c:v>1"</c:v>
                      </c:pt>
                      <c:pt idx="3">
                        <c:v>3/4"</c:v>
                      </c:pt>
                      <c:pt idx="4">
                        <c:v>1/2"</c:v>
                      </c:pt>
                      <c:pt idx="5">
                        <c:v>3/8"</c:v>
                      </c:pt>
                      <c:pt idx="6">
                        <c:v># 4</c:v>
                      </c:pt>
                      <c:pt idx="7">
                        <c:v># 8</c:v>
                      </c:pt>
                      <c:pt idx="8">
                        <c:v># 16</c:v>
                      </c:pt>
                      <c:pt idx="9">
                        <c:v># 30</c:v>
                      </c:pt>
                      <c:pt idx="10">
                        <c:v># 50</c:v>
                      </c:pt>
                      <c:pt idx="11">
                        <c:v># 100</c:v>
                      </c:pt>
                      <c:pt idx="12">
                        <c:v># 200</c:v>
                      </c:pt>
                    </c:strCache>
                  </c:strRef>
                </c:cat>
                <c:val>
                  <c:numRef>
                    <c:extLst xmlns:c15="http://schemas.microsoft.com/office/drawing/2012/chart">
                      <c:ext xmlns:c15="http://schemas.microsoft.com/office/drawing/2012/chart" uri="{02D57815-91ED-43cb-92C2-25804820EDAC}">
                        <c15:formulaRef>
                          <c15:sqref>'1 Aggregate System'!$O$53:$O$65</c15:sqref>
                        </c15:formulaRef>
                      </c:ext>
                    </c:extLst>
                    <c:numCache>
                      <c:formatCode>0.0;[Red]0.0</c:formatCode>
                      <c:ptCount val="13"/>
                    </c:numCache>
                  </c:numRef>
                </c:val>
                <c:smooth val="0"/>
                <c:extLst xmlns:c15="http://schemas.microsoft.com/office/drawing/2012/chart">
                  <c:ext xmlns:c16="http://schemas.microsoft.com/office/drawing/2014/chart" uri="{C3380CC4-5D6E-409C-BE32-E72D297353CC}">
                    <c16:uniqueId val="{00000004-BDBD-40CC-A0A3-9D96EAA0FE02}"/>
                  </c:ext>
                </c:extLst>
              </c15:ser>
            </c15:filteredLineSeries>
          </c:ext>
        </c:extLst>
      </c:lineChart>
      <c:catAx>
        <c:axId val="24158880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Sieve</a:t>
                </a:r>
              </a:p>
            </c:rich>
          </c:tx>
          <c:layout>
            <c:manualLayout>
              <c:xMode val="edge"/>
              <c:yMode val="edge"/>
              <c:x val="0.50819770104914164"/>
              <c:y val="0.908588392624283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75" b="1" i="0" u="none" strike="noStrike" baseline="0">
                <a:solidFill>
                  <a:srgbClr val="000000"/>
                </a:solidFill>
                <a:latin typeface="Arial"/>
                <a:ea typeface="Arial"/>
                <a:cs typeface="Arial"/>
              </a:defRPr>
            </a:pPr>
            <a:endParaRPr lang="en-US"/>
          </a:p>
        </c:txPr>
        <c:crossAx val="241589192"/>
        <c:crosses val="autoZero"/>
        <c:auto val="0"/>
        <c:lblAlgn val="ctr"/>
        <c:lblOffset val="100"/>
        <c:tickLblSkip val="1"/>
        <c:tickMarkSkip val="1"/>
        <c:noMultiLvlLbl val="0"/>
      </c:catAx>
      <c:valAx>
        <c:axId val="24158919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Retained, % Vol</a:t>
                </a:r>
              </a:p>
            </c:rich>
          </c:tx>
          <c:layout>
            <c:manualLayout>
              <c:xMode val="edge"/>
              <c:yMode val="edge"/>
              <c:x val="9.1075388429631889E-3"/>
              <c:y val="0.26038809630825743"/>
            </c:manualLayout>
          </c:layout>
          <c:overlay val="0"/>
          <c:spPr>
            <a:noFill/>
            <a:ln w="25400">
              <a:noFill/>
            </a:ln>
          </c:spPr>
        </c:title>
        <c:numFmt formatCode="0;[Red]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en-US"/>
          </a:p>
        </c:txPr>
        <c:crossAx val="241588800"/>
        <c:crosses val="autoZero"/>
        <c:crossBetween val="midCat"/>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34426</xdr:rowOff>
    </xdr:from>
    <xdr:to>
      <xdr:col>4</xdr:col>
      <xdr:colOff>874058</xdr:colOff>
      <xdr:row>64</xdr:row>
      <xdr:rowOff>195705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85913</xdr:colOff>
      <xdr:row>8</xdr:row>
      <xdr:rowOff>45200</xdr:rowOff>
    </xdr:from>
    <xdr:to>
      <xdr:col>15</xdr:col>
      <xdr:colOff>628309</xdr:colOff>
      <xdr:row>15</xdr:row>
      <xdr:rowOff>171192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44854" y="1606553"/>
          <a:ext cx="2365369" cy="1439769"/>
        </a:xfrm>
        <a:prstGeom prst="rect">
          <a:avLst/>
        </a:prstGeom>
      </xdr:spPr>
    </xdr:pic>
    <xdr:clientData/>
  </xdr:twoCellAnchor>
  <xdr:twoCellAnchor editAs="oneCell">
    <xdr:from>
      <xdr:col>13</xdr:col>
      <xdr:colOff>765174</xdr:colOff>
      <xdr:row>0</xdr:row>
      <xdr:rowOff>61634</xdr:rowOff>
    </xdr:from>
    <xdr:to>
      <xdr:col>15</xdr:col>
      <xdr:colOff>54984</xdr:colOff>
      <xdr:row>5</xdr:row>
      <xdr:rowOff>136376</xdr:rowOff>
    </xdr:to>
    <xdr:pic>
      <xdr:nvPicPr>
        <xdr:cNvPr id="4" name="Picture 3" descr="C:\Documents and Settings\DOTWXC.AD\My Documents\My Pictures\New Picture.bmp">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srcRect/>
        <a:stretch>
          <a:fillRect/>
        </a:stretch>
      </xdr:blipFill>
      <xdr:spPr bwMode="auto">
        <a:xfrm>
          <a:off x="9404909" y="61634"/>
          <a:ext cx="1114875" cy="1083271"/>
        </a:xfrm>
        <a:prstGeom prst="ellipse">
          <a:avLst/>
        </a:prstGeom>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182469</xdr:colOff>
      <xdr:row>14</xdr:row>
      <xdr:rowOff>89648</xdr:rowOff>
    </xdr:from>
    <xdr:to>
      <xdr:col>8</xdr:col>
      <xdr:colOff>664060</xdr:colOff>
      <xdr:row>22</xdr:row>
      <xdr:rowOff>117302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1881" y="3249707"/>
          <a:ext cx="2730163" cy="1641301"/>
        </a:xfrm>
        <a:prstGeom prst="rect">
          <a:avLst/>
        </a:prstGeom>
      </xdr:spPr>
    </xdr:pic>
    <xdr:clientData/>
  </xdr:twoCellAnchor>
  <xdr:twoCellAnchor editAs="oneCell">
    <xdr:from>
      <xdr:col>7</xdr:col>
      <xdr:colOff>513229</xdr:colOff>
      <xdr:row>9</xdr:row>
      <xdr:rowOff>47440</xdr:rowOff>
    </xdr:from>
    <xdr:to>
      <xdr:col>8</xdr:col>
      <xdr:colOff>746349</xdr:colOff>
      <xdr:row>13</xdr:row>
      <xdr:rowOff>36792</xdr:rowOff>
    </xdr:to>
    <xdr:pic>
      <xdr:nvPicPr>
        <xdr:cNvPr id="3" name="Picture 2" descr="C:\Documents and Settings\DOTWXC.AD\My Documents\My Pictures\New Picture.bmp">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rcRect/>
        <a:stretch>
          <a:fillRect/>
        </a:stretch>
      </xdr:blipFill>
      <xdr:spPr bwMode="auto">
        <a:xfrm>
          <a:off x="8290111" y="1862793"/>
          <a:ext cx="1215652" cy="1132352"/>
        </a:xfrm>
        <a:prstGeom prst="ellipse">
          <a:avLst/>
        </a:prstGeom>
        <a:ln>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507038</xdr:colOff>
      <xdr:row>11</xdr:row>
      <xdr:rowOff>15108</xdr:rowOff>
    </xdr:from>
    <xdr:to>
      <xdr:col>8</xdr:col>
      <xdr:colOff>549276</xdr:colOff>
      <xdr:row>16</xdr:row>
      <xdr:rowOff>58681</xdr:rowOff>
    </xdr:to>
    <xdr:pic>
      <xdr:nvPicPr>
        <xdr:cNvPr id="2" name="Picture 1" descr="C:\Documents and Settings\DOTWXC.AD\My Documents\My Pictures\New Picture.bm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6539538" y="2285233"/>
          <a:ext cx="1121738" cy="1096142"/>
        </a:xfrm>
        <a:prstGeom prst="ellipse">
          <a:avLst/>
        </a:prstGeom>
        <a:ln>
          <a:noFill/>
        </a:ln>
        <a:effectLst/>
      </xdr:spPr>
    </xdr:pic>
    <xdr:clientData/>
  </xdr:twoCellAnchor>
  <xdr:twoCellAnchor editAs="oneCell">
    <xdr:from>
      <xdr:col>4</xdr:col>
      <xdr:colOff>212726</xdr:colOff>
      <xdr:row>24</xdr:row>
      <xdr:rowOff>1011</xdr:rowOff>
    </xdr:from>
    <xdr:to>
      <xdr:col>7</xdr:col>
      <xdr:colOff>516659</xdr:colOff>
      <xdr:row>32</xdr:row>
      <xdr:rowOff>167850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9751" y="4801611"/>
          <a:ext cx="2726458" cy="18300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125672</xdr:colOff>
      <xdr:row>8</xdr:row>
      <xdr:rowOff>9968</xdr:rowOff>
    </xdr:from>
    <xdr:to>
      <xdr:col>9</xdr:col>
      <xdr:colOff>47625</xdr:colOff>
      <xdr:row>12</xdr:row>
      <xdr:rowOff>135845</xdr:rowOff>
    </xdr:to>
    <xdr:pic>
      <xdr:nvPicPr>
        <xdr:cNvPr id="2" name="Picture 1" descr="C:\Documents and Settings\DOTWXC.AD\My Documents\My Pictures\New Picture.bm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4596072" y="1591118"/>
          <a:ext cx="1030028" cy="929152"/>
        </a:xfrm>
        <a:prstGeom prst="ellipse">
          <a:avLst/>
        </a:prstGeom>
        <a:ln>
          <a:noFill/>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296335</xdr:colOff>
      <xdr:row>0</xdr:row>
      <xdr:rowOff>35983</xdr:rowOff>
    </xdr:from>
    <xdr:to>
      <xdr:col>5</xdr:col>
      <xdr:colOff>497417</xdr:colOff>
      <xdr:row>5</xdr:row>
      <xdr:rowOff>169333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4418" y="35983"/>
          <a:ext cx="2106082" cy="1138767"/>
        </a:xfrm>
        <a:prstGeom prst="rect">
          <a:avLst/>
        </a:prstGeom>
      </xdr:spPr>
    </xdr:pic>
    <xdr:clientData/>
  </xdr:twoCellAnchor>
  <xdr:twoCellAnchor editAs="oneCell">
    <xdr:from>
      <xdr:col>0</xdr:col>
      <xdr:colOff>134409</xdr:colOff>
      <xdr:row>0</xdr:row>
      <xdr:rowOff>95250</xdr:rowOff>
    </xdr:from>
    <xdr:to>
      <xdr:col>1</xdr:col>
      <xdr:colOff>116417</xdr:colOff>
      <xdr:row>5</xdr:row>
      <xdr:rowOff>183091</xdr:rowOff>
    </xdr:to>
    <xdr:pic>
      <xdr:nvPicPr>
        <xdr:cNvPr id="3" name="Picture 2" descr="C:\Documents and Settings\DOTWXC.AD\My Documents\My Pictures\New Picture.bmp">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rcRect/>
        <a:stretch>
          <a:fillRect/>
        </a:stretch>
      </xdr:blipFill>
      <xdr:spPr bwMode="auto">
        <a:xfrm>
          <a:off x="134409" y="95250"/>
          <a:ext cx="1146175" cy="1093258"/>
        </a:xfrm>
        <a:prstGeom prst="ellipse">
          <a:avLst/>
        </a:prstGeom>
        <a:ln>
          <a:noFill/>
        </a:ln>
        <a:effectLst/>
      </xdr:spPr>
    </xdr:pic>
    <xdr:clientData/>
  </xdr:twoCellAnchor>
  <xdr:twoCellAnchor>
    <xdr:from>
      <xdr:col>0</xdr:col>
      <xdr:colOff>3176</xdr:colOff>
      <xdr:row>21</xdr:row>
      <xdr:rowOff>3175</xdr:rowOff>
    </xdr:from>
    <xdr:to>
      <xdr:col>4</xdr:col>
      <xdr:colOff>909109</xdr:colOff>
      <xdr:row>35</xdr:row>
      <xdr:rowOff>130175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21165</xdr:colOff>
      <xdr:row>21</xdr:row>
      <xdr:rowOff>0</xdr:rowOff>
    </xdr:from>
    <xdr:to>
      <xdr:col>9</xdr:col>
      <xdr:colOff>912298</xdr:colOff>
      <xdr:row>35</xdr:row>
      <xdr:rowOff>141815</xdr:rowOff>
    </xdr:to>
    <xdr:graphicFrame macro="">
      <xdr:nvGraphicFramePr>
        <xdr:cNvPr id="5" name="Chart 1">
          <a:extLst>
            <a:ext uri="{FF2B5EF4-FFF2-40B4-BE49-F238E27FC236}">
              <a16:creationId xmlns:a16="http://schemas.microsoft.com/office/drawing/2014/main" id="{00000000-0008-0000-05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15876</xdr:colOff>
      <xdr:row>36</xdr:row>
      <xdr:rowOff>15875</xdr:rowOff>
    </xdr:from>
    <xdr:to>
      <xdr:col>9</xdr:col>
      <xdr:colOff>922868</xdr:colOff>
      <xdr:row>50</xdr:row>
      <xdr:rowOff>160582</xdr:rowOff>
    </xdr:to>
    <xdr:graphicFrame macro="">
      <xdr:nvGraphicFramePr>
        <xdr:cNvPr id="6" name="Chart 7">
          <a:extLst>
            <a:ext uri="{FF2B5EF4-FFF2-40B4-BE49-F238E27FC236}">
              <a16:creationId xmlns:a16="http://schemas.microsoft.com/office/drawing/2014/main" id="{00000000-0008-0000-05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35</xdr:row>
      <xdr:rowOff>197907</xdr:rowOff>
    </xdr:from>
    <xdr:to>
      <xdr:col>4</xdr:col>
      <xdr:colOff>912481</xdr:colOff>
      <xdr:row>50</xdr:row>
      <xdr:rowOff>148166</xdr:rowOff>
    </xdr:to>
    <xdr:graphicFrame macro="">
      <xdr:nvGraphicFramePr>
        <xdr:cNvPr id="8" name="Chart 2">
          <a:extLst>
            <a:ext uri="{FF2B5EF4-FFF2-40B4-BE49-F238E27FC236}">
              <a16:creationId xmlns:a16="http://schemas.microsoft.com/office/drawing/2014/main" id="{00000000-0008-0000-05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17991</xdr:colOff>
      <xdr:row>51</xdr:row>
      <xdr:rowOff>11640</xdr:rowOff>
    </xdr:from>
    <xdr:to>
      <xdr:col>4</xdr:col>
      <xdr:colOff>904874</xdr:colOff>
      <xdr:row>65</xdr:row>
      <xdr:rowOff>130483</xdr:rowOff>
    </xdr:to>
    <xdr:graphicFrame macro="">
      <xdr:nvGraphicFramePr>
        <xdr:cNvPr id="9" name="Chart 2">
          <a:extLst>
            <a:ext uri="{FF2B5EF4-FFF2-40B4-BE49-F238E27FC236}">
              <a16:creationId xmlns:a16="http://schemas.microsoft.com/office/drawing/2014/main" id="{00000000-0008-0000-05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6</xdr:row>
      <xdr:rowOff>19051</xdr:rowOff>
    </xdr:from>
    <xdr:to>
      <xdr:col>4</xdr:col>
      <xdr:colOff>908049</xdr:colOff>
      <xdr:row>20</xdr:row>
      <xdr:rowOff>142875</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34925</xdr:colOff>
      <xdr:row>6</xdr:row>
      <xdr:rowOff>15876</xdr:rowOff>
    </xdr:from>
    <xdr:to>
      <xdr:col>9</xdr:col>
      <xdr:colOff>905321</xdr:colOff>
      <xdr:row>20</xdr:row>
      <xdr:rowOff>146050</xdr:rowOff>
    </xdr:to>
    <xdr:graphicFrame macro="">
      <xdr:nvGraphicFramePr>
        <xdr:cNvPr id="12" name="Chart 48">
          <a:extLst>
            <a:ext uri="{FF2B5EF4-FFF2-40B4-BE49-F238E27FC236}">
              <a16:creationId xmlns:a16="http://schemas.microsoft.com/office/drawing/2014/main" id="{00000000-0008-0000-0500-00000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0.19545</cdr:x>
      <cdr:y>0.89444</cdr:y>
    </cdr:from>
    <cdr:to>
      <cdr:x>0.2399</cdr:x>
      <cdr:y>0.94583</cdr:y>
    </cdr:to>
    <cdr:sp macro="" textlink="">
      <cdr:nvSpPr>
        <cdr:cNvPr id="2" name="Text Box 10">
          <a:extLst xmlns:a="http://schemas.openxmlformats.org/drawingml/2006/main">
            <a:ext uri="{FF2B5EF4-FFF2-40B4-BE49-F238E27FC236}">
              <a16:creationId xmlns:a16="http://schemas.microsoft.com/office/drawing/2014/main" id="{0D82DCCE-44DF-4502-B160-C04D16CF9867}"/>
            </a:ext>
          </a:extLst>
        </cdr:cNvPr>
        <cdr:cNvSpPr txBox="1">
          <a:spLocks xmlns:a="http://schemas.openxmlformats.org/drawingml/2006/main" noChangeArrowheads="1"/>
        </cdr:cNvSpPr>
      </cdr:nvSpPr>
      <cdr:spPr bwMode="auto">
        <a:xfrm xmlns:a="http://schemas.openxmlformats.org/drawingml/2006/main" flipV="1">
          <a:off x="1091196" y="3271504"/>
          <a:ext cx="248167" cy="187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#50</a:t>
          </a:r>
          <a:endParaRPr lang="en-US"/>
        </a:p>
      </cdr:txBody>
    </cdr:sp>
  </cdr:relSizeAnchor>
  <cdr:relSizeAnchor xmlns:cdr="http://schemas.openxmlformats.org/drawingml/2006/chartDrawing">
    <cdr:from>
      <cdr:x>0.26273</cdr:x>
      <cdr:y>0.8967</cdr:y>
    </cdr:from>
    <cdr:to>
      <cdr:x>0.31733</cdr:x>
      <cdr:y>0.95833</cdr:y>
    </cdr:to>
    <cdr:sp macro="" textlink="">
      <cdr:nvSpPr>
        <cdr:cNvPr id="3" name="Text Box 10">
          <a:extLst xmlns:a="http://schemas.openxmlformats.org/drawingml/2006/main">
            <a:ext uri="{FF2B5EF4-FFF2-40B4-BE49-F238E27FC236}">
              <a16:creationId xmlns:a16="http://schemas.microsoft.com/office/drawing/2014/main" id="{27EE50EB-01D2-47DA-8566-CD3780FE98BE}"/>
            </a:ext>
          </a:extLst>
        </cdr:cNvPr>
        <cdr:cNvSpPr txBox="1">
          <a:spLocks xmlns:a="http://schemas.openxmlformats.org/drawingml/2006/main" noChangeArrowheads="1"/>
        </cdr:cNvSpPr>
      </cdr:nvSpPr>
      <cdr:spPr bwMode="auto">
        <a:xfrm xmlns:a="http://schemas.openxmlformats.org/drawingml/2006/main" flipH="1" flipV="1">
          <a:off x="1466850" y="3279773"/>
          <a:ext cx="304799" cy="2254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#16</a:t>
          </a:r>
        </a:p>
        <a:p xmlns:a="http://schemas.openxmlformats.org/drawingml/2006/main">
          <a:pPr algn="l" rtl="0">
            <a:defRPr sz="1000"/>
          </a:pPr>
          <a:endParaRPr lang="en-US"/>
        </a:p>
      </cdr:txBody>
    </cdr:sp>
  </cdr:relSizeAnchor>
  <cdr:relSizeAnchor xmlns:cdr="http://schemas.openxmlformats.org/drawingml/2006/chartDrawing">
    <cdr:from>
      <cdr:x>0.72735</cdr:x>
      <cdr:y>0.89149</cdr:y>
    </cdr:from>
    <cdr:to>
      <cdr:x>0.7718</cdr:x>
      <cdr:y>0.94288</cdr:y>
    </cdr:to>
    <cdr:sp macro="" textlink="">
      <cdr:nvSpPr>
        <cdr:cNvPr id="4" name="Text Box 10">
          <a:extLst xmlns:a="http://schemas.openxmlformats.org/drawingml/2006/main">
            <a:ext uri="{FF2B5EF4-FFF2-40B4-BE49-F238E27FC236}">
              <a16:creationId xmlns:a16="http://schemas.microsoft.com/office/drawing/2014/main" id="{26170F3D-7A17-47E1-B261-A7A92B87C65E}"/>
            </a:ext>
          </a:extLst>
        </cdr:cNvPr>
        <cdr:cNvSpPr txBox="1">
          <a:spLocks xmlns:a="http://schemas.openxmlformats.org/drawingml/2006/main" noChangeArrowheads="1"/>
        </cdr:cNvSpPr>
      </cdr:nvSpPr>
      <cdr:spPr bwMode="auto">
        <a:xfrm xmlns:a="http://schemas.openxmlformats.org/drawingml/2006/main" flipV="1">
          <a:off x="4060825" y="3260725"/>
          <a:ext cx="248167" cy="187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1"</a:t>
          </a:r>
        </a:p>
        <a:p xmlns:a="http://schemas.openxmlformats.org/drawingml/2006/main">
          <a:pPr algn="l" rtl="0">
            <a:defRPr sz="1000"/>
          </a:pPr>
          <a:endParaRPr lang="en-US"/>
        </a:p>
      </cdr:txBody>
    </cdr:sp>
  </cdr:relSizeAnchor>
  <cdr:relSizeAnchor xmlns:cdr="http://schemas.openxmlformats.org/drawingml/2006/chartDrawing">
    <cdr:from>
      <cdr:x>0.94572</cdr:x>
      <cdr:y>0.88889</cdr:y>
    </cdr:from>
    <cdr:to>
      <cdr:x>0.99017</cdr:x>
      <cdr:y>0.94028</cdr:y>
    </cdr:to>
    <cdr:sp macro="" textlink="">
      <cdr:nvSpPr>
        <cdr:cNvPr id="5" name="Text Box 10">
          <a:extLst xmlns:a="http://schemas.openxmlformats.org/drawingml/2006/main">
            <a:ext uri="{FF2B5EF4-FFF2-40B4-BE49-F238E27FC236}">
              <a16:creationId xmlns:a16="http://schemas.microsoft.com/office/drawing/2014/main" id="{102E102F-CE74-4017-9D7A-F978EE68CF8E}"/>
            </a:ext>
          </a:extLst>
        </cdr:cNvPr>
        <cdr:cNvSpPr txBox="1">
          <a:spLocks xmlns:a="http://schemas.openxmlformats.org/drawingml/2006/main" noChangeArrowheads="1"/>
        </cdr:cNvSpPr>
      </cdr:nvSpPr>
      <cdr:spPr bwMode="auto">
        <a:xfrm xmlns:a="http://schemas.openxmlformats.org/drawingml/2006/main" flipV="1">
          <a:off x="5280025" y="3251200"/>
          <a:ext cx="248167" cy="187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2"</a:t>
          </a:r>
        </a:p>
        <a:p xmlns:a="http://schemas.openxmlformats.org/drawingml/2006/main">
          <a:pPr algn="l" rtl="0">
            <a:defRPr sz="1000"/>
          </a:pPr>
          <a:endParaRPr lang="en-US"/>
        </a:p>
      </cdr:txBody>
    </cdr:sp>
  </cdr:relSizeAnchor>
  <cdr:relSizeAnchor xmlns:cdr="http://schemas.openxmlformats.org/drawingml/2006/chartDrawing">
    <cdr:from>
      <cdr:x>0.56015</cdr:x>
      <cdr:y>0.89149</cdr:y>
    </cdr:from>
    <cdr:to>
      <cdr:x>0.6046</cdr:x>
      <cdr:y>0.94288</cdr:y>
    </cdr:to>
    <cdr:sp macro="" textlink="">
      <cdr:nvSpPr>
        <cdr:cNvPr id="7" name="Text Box 10">
          <a:extLst xmlns:a="http://schemas.openxmlformats.org/drawingml/2006/main">
            <a:ext uri="{FF2B5EF4-FFF2-40B4-BE49-F238E27FC236}">
              <a16:creationId xmlns:a16="http://schemas.microsoft.com/office/drawing/2014/main" id="{17D42058-B4EA-4E52-A47C-2C6112C27BA6}"/>
            </a:ext>
          </a:extLst>
        </cdr:cNvPr>
        <cdr:cNvSpPr txBox="1">
          <a:spLocks xmlns:a="http://schemas.openxmlformats.org/drawingml/2006/main" noChangeArrowheads="1"/>
        </cdr:cNvSpPr>
      </cdr:nvSpPr>
      <cdr:spPr bwMode="auto">
        <a:xfrm xmlns:a="http://schemas.openxmlformats.org/drawingml/2006/main" flipV="1">
          <a:off x="3127375" y="3260725"/>
          <a:ext cx="248167" cy="187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1/2"</a:t>
          </a:r>
        </a:p>
        <a:p xmlns:a="http://schemas.openxmlformats.org/drawingml/2006/main">
          <a:pPr algn="l" rtl="0">
            <a:defRPr sz="1000"/>
          </a:pPr>
          <a:endParaRPr lang="en-US"/>
        </a:p>
      </cdr:txBody>
    </cdr:sp>
  </cdr:relSizeAnchor>
  <cdr:relSizeAnchor xmlns:cdr="http://schemas.openxmlformats.org/drawingml/2006/chartDrawing">
    <cdr:from>
      <cdr:x>0.39979</cdr:x>
      <cdr:y>0.89149</cdr:y>
    </cdr:from>
    <cdr:to>
      <cdr:x>0.44424</cdr:x>
      <cdr:y>0.94288</cdr:y>
    </cdr:to>
    <cdr:sp macro="" textlink="">
      <cdr:nvSpPr>
        <cdr:cNvPr id="8" name="Text Box 10">
          <a:extLst xmlns:a="http://schemas.openxmlformats.org/drawingml/2006/main">
            <a:ext uri="{FF2B5EF4-FFF2-40B4-BE49-F238E27FC236}">
              <a16:creationId xmlns:a16="http://schemas.microsoft.com/office/drawing/2014/main" id="{BFFBC794-D129-40D0-B7A3-CAC78C940FE6}"/>
            </a:ext>
          </a:extLst>
        </cdr:cNvPr>
        <cdr:cNvSpPr txBox="1">
          <a:spLocks xmlns:a="http://schemas.openxmlformats.org/drawingml/2006/main" noChangeArrowheads="1"/>
        </cdr:cNvSpPr>
      </cdr:nvSpPr>
      <cdr:spPr bwMode="auto">
        <a:xfrm xmlns:a="http://schemas.openxmlformats.org/drawingml/2006/main" flipV="1">
          <a:off x="2232025" y="3260725"/>
          <a:ext cx="248167" cy="187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#4</a:t>
          </a:r>
        </a:p>
        <a:p xmlns:a="http://schemas.openxmlformats.org/drawingml/2006/main">
          <a:pPr algn="l" rtl="0">
            <a:defRPr sz="1000"/>
          </a:pPr>
          <a:endParaRPr lang="en-US"/>
        </a:p>
      </cdr:txBody>
    </cdr:sp>
  </cdr:relSizeAnchor>
  <cdr:relSizeAnchor xmlns:cdr="http://schemas.openxmlformats.org/drawingml/2006/chartDrawing">
    <cdr:from>
      <cdr:x>0.14388</cdr:x>
      <cdr:y>0.8993</cdr:y>
    </cdr:from>
    <cdr:to>
      <cdr:x>0.21155</cdr:x>
      <cdr:y>0.95052</cdr:y>
    </cdr:to>
    <cdr:sp macro="" textlink="">
      <cdr:nvSpPr>
        <cdr:cNvPr id="9" name="Text Box 10">
          <a:extLst xmlns:a="http://schemas.openxmlformats.org/drawingml/2006/main">
            <a:ext uri="{FF2B5EF4-FFF2-40B4-BE49-F238E27FC236}">
              <a16:creationId xmlns:a16="http://schemas.microsoft.com/office/drawing/2014/main" id="{418D2ABF-D260-4EA3-999A-56DD2AED9380}"/>
            </a:ext>
          </a:extLst>
        </cdr:cNvPr>
        <cdr:cNvSpPr txBox="1">
          <a:spLocks xmlns:a="http://schemas.openxmlformats.org/drawingml/2006/main" noChangeArrowheads="1"/>
        </cdr:cNvSpPr>
      </cdr:nvSpPr>
      <cdr:spPr bwMode="auto">
        <a:xfrm xmlns:a="http://schemas.openxmlformats.org/drawingml/2006/main" flipV="1">
          <a:off x="803297" y="3289295"/>
          <a:ext cx="377805" cy="1873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900" b="1" i="0" u="none" strike="noStrike" baseline="0">
              <a:solidFill>
                <a:srgbClr val="000000"/>
              </a:solidFill>
              <a:latin typeface="Arial"/>
              <a:cs typeface="Arial"/>
            </a:rPr>
            <a:t>#200</a:t>
          </a:r>
        </a:p>
        <a:p xmlns:a="http://schemas.openxmlformats.org/drawingml/2006/main">
          <a:pPr algn="l" rtl="0">
            <a:defRPr sz="1000"/>
          </a:pPr>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0.18702</cdr:x>
      <cdr:y>0.17399</cdr:y>
    </cdr:from>
    <cdr:to>
      <cdr:x>0.93207</cdr:x>
      <cdr:y>0.68998</cdr:y>
    </cdr:to>
    <cdr:grpSp>
      <cdr:nvGrpSpPr>
        <cdr:cNvPr id="11" name="Group 6">
          <a:extLst xmlns:a="http://schemas.openxmlformats.org/drawingml/2006/main">
            <a:ext uri="{FF2B5EF4-FFF2-40B4-BE49-F238E27FC236}">
              <a16:creationId xmlns:a16="http://schemas.microsoft.com/office/drawing/2014/main" id="{0E4FCCD0-3CD7-4F05-A24E-71AE32D7134F}"/>
            </a:ext>
          </a:extLst>
        </cdr:cNvPr>
        <cdr:cNvGrpSpPr>
          <a:grpSpLocks xmlns:a="http://schemas.openxmlformats.org/drawingml/2006/main"/>
        </cdr:cNvGrpSpPr>
      </cdr:nvGrpSpPr>
      <cdr:grpSpPr bwMode="auto">
        <a:xfrm xmlns:a="http://schemas.openxmlformats.org/drawingml/2006/main">
          <a:off x="839700" y="509882"/>
          <a:ext cx="3345197" cy="1512121"/>
          <a:chOff x="941969" y="572350"/>
          <a:chExt cx="3943811" cy="1838580"/>
        </a:xfrm>
      </cdr:grpSpPr>
      <cdr:sp macro="" textlink="">
        <cdr:nvSpPr>
          <cdr:cNvPr id="7169" name="Text Box 1">
            <a:extLst xmlns:a="http://schemas.openxmlformats.org/drawingml/2006/main">
              <a:ext uri="{FF2B5EF4-FFF2-40B4-BE49-F238E27FC236}">
                <a16:creationId xmlns:a16="http://schemas.microsoft.com/office/drawing/2014/main" id="{B2DA4A69-AEE3-45DC-B510-BA859FC9D5B6}"/>
              </a:ext>
            </a:extLst>
          </cdr:cNvPr>
          <cdr:cNvSpPr txBox="1">
            <a:spLocks xmlns:a="http://schemas.openxmlformats.org/drawingml/2006/main" noChangeArrowheads="1"/>
          </cdr:cNvSpPr>
        </cdr:nvSpPr>
        <cdr:spPr bwMode="auto">
          <a:xfrm xmlns:a="http://schemas.openxmlformats.org/drawingml/2006/main">
            <a:off x="941969" y="592684"/>
            <a:ext cx="466744" cy="3824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IV</a:t>
            </a:r>
            <a:br>
              <a:rPr lang="en-US" sz="1200" b="1" i="0" u="none" strike="noStrike" baseline="0">
                <a:solidFill>
                  <a:srgbClr val="000000"/>
                </a:solidFill>
                <a:latin typeface="Arial"/>
                <a:cs typeface="Arial"/>
              </a:rPr>
            </a:br>
            <a:r>
              <a:rPr lang="en-US" sz="1200" b="1" i="0" u="none" strike="noStrike" baseline="0">
                <a:solidFill>
                  <a:srgbClr val="000000"/>
                </a:solidFill>
                <a:latin typeface="Arial"/>
                <a:cs typeface="Arial"/>
              </a:rPr>
              <a:t>Sandy</a:t>
            </a:r>
            <a:endParaRPr lang="en-US"/>
          </a:p>
        </cdr:txBody>
      </cdr:sp>
      <cdr:sp macro="" textlink="">
        <cdr:nvSpPr>
          <cdr:cNvPr id="7170" name="Text Box 2">
            <a:extLst xmlns:a="http://schemas.openxmlformats.org/drawingml/2006/main">
              <a:ext uri="{FF2B5EF4-FFF2-40B4-BE49-F238E27FC236}">
                <a16:creationId xmlns:a16="http://schemas.microsoft.com/office/drawing/2014/main" id="{CFA21250-7080-48F1-BD0D-885793E19CB7}"/>
              </a:ext>
            </a:extLst>
          </cdr:cNvPr>
          <cdr:cNvSpPr txBox="1">
            <a:spLocks xmlns:a="http://schemas.openxmlformats.org/drawingml/2006/main" noChangeArrowheads="1"/>
          </cdr:cNvSpPr>
        </cdr:nvSpPr>
        <cdr:spPr bwMode="auto">
          <a:xfrm xmlns:a="http://schemas.openxmlformats.org/drawingml/2006/main">
            <a:off x="995502" y="1549605"/>
            <a:ext cx="311774" cy="3824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I</a:t>
            </a:r>
            <a:br>
              <a:rPr lang="en-US" sz="1200" b="1" i="0" u="none" strike="noStrike" baseline="0">
                <a:solidFill>
                  <a:srgbClr val="000000"/>
                </a:solidFill>
                <a:latin typeface="Arial"/>
                <a:cs typeface="Arial"/>
              </a:rPr>
            </a:br>
            <a:r>
              <a:rPr lang="en-US" sz="1200" b="1" i="0" u="none" strike="noStrike" baseline="0">
                <a:solidFill>
                  <a:srgbClr val="000000"/>
                </a:solidFill>
                <a:latin typeface="Arial"/>
                <a:cs typeface="Arial"/>
              </a:rPr>
              <a:t>Gap</a:t>
            </a:r>
            <a:endParaRPr lang="en-US"/>
          </a:p>
        </cdr:txBody>
      </cdr:sp>
      <cdr:sp macro="" textlink="">
        <cdr:nvSpPr>
          <cdr:cNvPr id="7171" name="Text Box 3">
            <a:extLst xmlns:a="http://schemas.openxmlformats.org/drawingml/2006/main">
              <a:ext uri="{FF2B5EF4-FFF2-40B4-BE49-F238E27FC236}">
                <a16:creationId xmlns:a16="http://schemas.microsoft.com/office/drawing/2014/main" id="{19A05013-3A06-4817-8F2C-E23627CC571B}"/>
              </a:ext>
            </a:extLst>
          </cdr:cNvPr>
          <cdr:cNvSpPr txBox="1">
            <a:spLocks xmlns:a="http://schemas.openxmlformats.org/drawingml/2006/main" noChangeArrowheads="1"/>
          </cdr:cNvSpPr>
        </cdr:nvSpPr>
        <cdr:spPr bwMode="auto">
          <a:xfrm xmlns:a="http://schemas.openxmlformats.org/drawingml/2006/main">
            <a:off x="2783338" y="789406"/>
            <a:ext cx="87361" cy="1678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l" rtl="0">
              <a:defRPr sz="1000"/>
            </a:pPr>
            <a:r>
              <a:rPr lang="en-US" sz="1200" b="1" i="0" u="none" strike="noStrike" baseline="0">
                <a:solidFill>
                  <a:srgbClr val="000000"/>
                </a:solidFill>
                <a:latin typeface="Arial"/>
                <a:cs typeface="Arial"/>
              </a:rPr>
              <a:t>II</a:t>
            </a:r>
            <a:endParaRPr lang="en-US"/>
          </a:p>
        </cdr:txBody>
      </cdr:sp>
      <cdr:sp macro="" textlink="">
        <cdr:nvSpPr>
          <cdr:cNvPr id="7172" name="Text Box 4">
            <a:extLst xmlns:a="http://schemas.openxmlformats.org/drawingml/2006/main">
              <a:ext uri="{FF2B5EF4-FFF2-40B4-BE49-F238E27FC236}">
                <a16:creationId xmlns:a16="http://schemas.microsoft.com/office/drawing/2014/main" id="{ACE23670-9D16-4924-80EC-B7CAD4BA6C4A}"/>
              </a:ext>
            </a:extLst>
          </cdr:cNvPr>
          <cdr:cNvSpPr txBox="1">
            <a:spLocks xmlns:a="http://schemas.openxmlformats.org/drawingml/2006/main" noChangeArrowheads="1"/>
          </cdr:cNvSpPr>
        </cdr:nvSpPr>
        <cdr:spPr bwMode="auto">
          <a:xfrm xmlns:a="http://schemas.openxmlformats.org/drawingml/2006/main">
            <a:off x="4141925" y="572350"/>
            <a:ext cx="743855" cy="3824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III</a:t>
            </a:r>
            <a:br>
              <a:rPr lang="en-US" sz="1200" b="1" i="0" u="none" strike="noStrike" baseline="0">
                <a:solidFill>
                  <a:srgbClr val="000000"/>
                </a:solidFill>
                <a:latin typeface="Arial"/>
                <a:cs typeface="Arial"/>
              </a:rPr>
            </a:br>
            <a:r>
              <a:rPr lang="en-US" sz="1200" b="1" i="0" u="none" strike="noStrike" baseline="0">
                <a:solidFill>
                  <a:srgbClr val="000000"/>
                </a:solidFill>
                <a:latin typeface="Arial"/>
                <a:cs typeface="Arial"/>
              </a:rPr>
              <a:t>Small Agg</a:t>
            </a:r>
            <a:endParaRPr lang="en-US"/>
          </a:p>
        </cdr:txBody>
      </cdr:sp>
      <cdr:sp macro="" textlink="">
        <cdr:nvSpPr>
          <cdr:cNvPr id="7173" name="Text Box 5">
            <a:extLst xmlns:a="http://schemas.openxmlformats.org/drawingml/2006/main">
              <a:ext uri="{FF2B5EF4-FFF2-40B4-BE49-F238E27FC236}">
                <a16:creationId xmlns:a16="http://schemas.microsoft.com/office/drawing/2014/main" id="{5C04BF4D-5CCE-486C-B4C6-D8C273CD5413}"/>
              </a:ext>
            </a:extLst>
          </cdr:cNvPr>
          <cdr:cNvSpPr txBox="1">
            <a:spLocks xmlns:a="http://schemas.openxmlformats.org/drawingml/2006/main" noChangeArrowheads="1"/>
          </cdr:cNvSpPr>
        </cdr:nvSpPr>
        <cdr:spPr bwMode="auto">
          <a:xfrm xmlns:a="http://schemas.openxmlformats.org/drawingml/2006/main">
            <a:off x="3423902" y="2028455"/>
            <a:ext cx="523901" cy="3824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27432" tIns="27432" rIns="0" bIns="0" anchor="t" upright="1">
            <a:spAutoFit/>
          </a:bodyPr>
          <a:lstStyle xmlns:a="http://schemas.openxmlformats.org/drawingml/2006/main"/>
          <a:p xmlns:a="http://schemas.openxmlformats.org/drawingml/2006/main">
            <a:pPr algn="ctr" rtl="0">
              <a:defRPr sz="1000"/>
            </a:pPr>
            <a:r>
              <a:rPr lang="en-US" sz="1200" b="1" i="0" u="none" strike="noStrike" baseline="0">
                <a:solidFill>
                  <a:srgbClr val="000000"/>
                </a:solidFill>
                <a:latin typeface="Arial"/>
                <a:cs typeface="Arial"/>
              </a:rPr>
              <a:t>V</a:t>
            </a:r>
            <a:br>
              <a:rPr lang="en-US" sz="1200" b="1" i="0" u="none" strike="noStrike" baseline="0">
                <a:solidFill>
                  <a:srgbClr val="000000"/>
                </a:solidFill>
                <a:latin typeface="Arial"/>
                <a:cs typeface="Arial"/>
              </a:rPr>
            </a:br>
            <a:r>
              <a:rPr lang="en-US" sz="1200" b="1" i="0" u="none" strike="noStrike" baseline="0">
                <a:solidFill>
                  <a:srgbClr val="000000"/>
                </a:solidFill>
                <a:latin typeface="Arial"/>
                <a:cs typeface="Arial"/>
              </a:rPr>
              <a:t>Coarse</a:t>
            </a:r>
            <a:endParaRPr lang="en-US"/>
          </a:p>
        </cdr:txBody>
      </cdr:sp>
    </cdr:grpSp>
  </cdr:relSizeAnchor>
</c:userShapes>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57</xdr:row>
          <xdr:rowOff>175260</xdr:rowOff>
        </xdr:from>
        <xdr:to>
          <xdr:col>2</xdr:col>
          <xdr:colOff>1135380</xdr:colOff>
          <xdr:row>59</xdr:row>
          <xdr:rowOff>68580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Met Tarantula Curve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99060</xdr:rowOff>
        </xdr:from>
        <xdr:to>
          <xdr:col>2</xdr:col>
          <xdr:colOff>144780</xdr:colOff>
          <xdr:row>95</xdr:row>
          <xdr:rowOff>60960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Met Combined Sives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22860</xdr:rowOff>
        </xdr:from>
        <xdr:to>
          <xdr:col>2</xdr:col>
          <xdr:colOff>746760</xdr:colOff>
          <xdr:row>101</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Voids &gt;=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152400</xdr:rowOff>
        </xdr:from>
        <xdr:to>
          <xdr:col>2</xdr:col>
          <xdr:colOff>1143000</xdr:colOff>
          <xdr:row>75</xdr:row>
          <xdr:rowOff>99060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Met Optimized Gradation</a:t>
              </a:r>
            </a:p>
          </xdr:txBody>
        </xdr:sp>
        <xdr:clientData/>
      </xdr:twoCellAnchor>
    </mc:Choice>
    <mc:Fallback/>
  </mc:AlternateContent>
  <xdr:twoCellAnchor>
    <xdr:from>
      <xdr:col>1</xdr:col>
      <xdr:colOff>765235</xdr:colOff>
      <xdr:row>58</xdr:row>
      <xdr:rowOff>55919</xdr:rowOff>
    </xdr:from>
    <xdr:to>
      <xdr:col>5</xdr:col>
      <xdr:colOff>895350</xdr:colOff>
      <xdr:row>73</xdr:row>
      <xdr:rowOff>93037</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273051</xdr:colOff>
      <xdr:row>0</xdr:row>
      <xdr:rowOff>66676</xdr:rowOff>
    </xdr:from>
    <xdr:to>
      <xdr:col>15</xdr:col>
      <xdr:colOff>352425</xdr:colOff>
      <xdr:row>5</xdr:row>
      <xdr:rowOff>163664</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7400926" y="63501"/>
          <a:ext cx="1904999" cy="1186013"/>
        </a:xfrm>
        <a:prstGeom prst="rect">
          <a:avLst/>
        </a:prstGeom>
      </xdr:spPr>
    </xdr:pic>
    <xdr:clientData/>
  </xdr:twoCellAnchor>
  <xdr:oneCellAnchor>
    <xdr:from>
      <xdr:col>10</xdr:col>
      <xdr:colOff>558800</xdr:colOff>
      <xdr:row>16</xdr:row>
      <xdr:rowOff>151853</xdr:rowOff>
    </xdr:from>
    <xdr:ext cx="3295650" cy="2943771"/>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283325" y="3180803"/>
          <a:ext cx="3295650" cy="29437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l"/>
          <a:r>
            <a:rPr lang="en-US" sz="1100">
              <a:solidFill>
                <a:schemeClr val="tx1"/>
              </a:solidFill>
              <a:effectLst/>
              <a:latin typeface="+mn-lt"/>
              <a:ea typeface="+mn-ea"/>
              <a:cs typeface="+mn-cs"/>
            </a:rPr>
            <a:t>This publication is intended solely for use by professional personnel who are competent to evaluate the significance and limitations of the information provided herein and who will accept total responsibility for the application of this information. Any opinions, findings, and conclusions or recommendations expressed in this material do not necessarily reflect the views of the Federal Highway Administration or Iowa State University.</a:t>
          </a:r>
        </a:p>
        <a:p>
          <a:pPr lvl="0" algn="l"/>
          <a:endParaRPr lang="en-US" sz="1100">
            <a:solidFill>
              <a:schemeClr val="tx1"/>
            </a:solidFill>
            <a:effectLst/>
            <a:latin typeface="+mn-lt"/>
            <a:ea typeface="+mn-ea"/>
            <a:cs typeface="+mn-cs"/>
          </a:endParaRPr>
        </a:p>
        <a:p>
          <a:pPr lvl="0" algn="l"/>
          <a:r>
            <a:rPr lang="en-US" sz="1100">
              <a:solidFill>
                <a:schemeClr val="tx1"/>
              </a:solidFill>
              <a:effectLst/>
              <a:latin typeface="+mn-lt"/>
              <a:ea typeface="+mn-ea"/>
              <a:cs typeface="+mn-cs"/>
            </a:rPr>
            <a:t>The Federal Highway Administration, Iowa State University, Wisconsin</a:t>
          </a:r>
          <a:r>
            <a:rPr lang="en-US" sz="1100" baseline="0">
              <a:solidFill>
                <a:schemeClr val="tx1"/>
              </a:solidFill>
              <a:effectLst/>
              <a:latin typeface="+mn-lt"/>
              <a:ea typeface="+mn-ea"/>
              <a:cs typeface="+mn-cs"/>
            </a:rPr>
            <a:t> Department of Transportation</a:t>
          </a:r>
          <a:r>
            <a:rPr lang="en-US" sz="1100">
              <a:solidFill>
                <a:schemeClr val="tx1"/>
              </a:solidFill>
              <a:effectLst/>
              <a:latin typeface="+mn-lt"/>
              <a:ea typeface="+mn-ea"/>
              <a:cs typeface="+mn-cs"/>
            </a:rPr>
            <a:t> and the authors make no representations or warranties, expressed or implied, as to the accuracy of any information or computations herein and disclaim liability for any inaccuracies.</a:t>
          </a:r>
        </a:p>
        <a:p>
          <a:endParaRPr lang="en-US" sz="1100"/>
        </a:p>
      </xdr:txBody>
    </xdr:sp>
    <xdr:clientData/>
  </xdr:oneCellAnchor>
  <xdr:twoCellAnchor editAs="oneCell">
    <xdr:from>
      <xdr:col>10</xdr:col>
      <xdr:colOff>396875</xdr:colOff>
      <xdr:row>6</xdr:row>
      <xdr:rowOff>95250</xdr:rowOff>
    </xdr:from>
    <xdr:to>
      <xdr:col>11</xdr:col>
      <xdr:colOff>739775</xdr:colOff>
      <xdr:row>11</xdr:row>
      <xdr:rowOff>139700</xdr:rowOff>
    </xdr:to>
    <xdr:pic>
      <xdr:nvPicPr>
        <xdr:cNvPr id="7" name="Picture 6" descr="C:\Documents and Settings\DOTWXC.AD\My Documents\My Pictures\New Picture.bmp">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2" cstate="print"/>
        <a:srcRect/>
        <a:stretch>
          <a:fillRect/>
        </a:stretch>
      </xdr:blipFill>
      <xdr:spPr bwMode="auto">
        <a:xfrm>
          <a:off x="6121400" y="1371600"/>
          <a:ext cx="952500" cy="958850"/>
        </a:xfrm>
        <a:prstGeom prst="ellipse">
          <a:avLst/>
        </a:prstGeom>
        <a:ln>
          <a:noFill/>
        </a:ln>
        <a:effectLst/>
      </xdr:spPr>
    </xdr:pic>
    <xdr:clientData/>
  </xdr:twoCellAnchor>
</xdr:wsDr>
</file>

<file path=xl/persons/person.xml><?xml version="1.0" encoding="utf-8"?>
<personList xmlns="http://schemas.microsoft.com/office/spreadsheetml/2018/threadedcomments" xmlns:x="http://schemas.openxmlformats.org/spreadsheetml/2006/main">
  <person displayName="Jackie Spoor" id="{FE8A0FAA-ECA0-48DA-99E8-0454A9B0CB6D}" userId="S-1-5-21-4141341110-2644520960-3791814248-161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4" dT="2019-06-13T14:34:37.68" personId="{FE8A0FAA-ECA0-48DA-99E8-0454A9B0CB6D}" id="{DE4F0863-A90B-4CE5-9A57-BC398A890D9D}">
    <text>Enter 1 if only using Coause A and NOT Coarse B stone - For Calculations</text>
  </threadedComment>
  <threadedComment ref="G15" dT="2019-05-20T14:22:59.71" personId="{FE8A0FAA-ECA0-48DA-99E8-0454A9B0CB6D}" id="{E718AB51-F73A-4EE3-8639-D4FD1C2522D0}">
    <text>Keep as 1 if not using - For Calculations</text>
  </threadedComment>
  <threadedComment ref="G16" dT="2019-05-20T14:23:51.05" personId="{FE8A0FAA-ECA0-48DA-99E8-0454A9B0CB6D}" id="{AF98BCBB-C073-4E78-8247-1EBB30FFC39B}">
    <text>Keep as 1 if not using - For Calculations</text>
  </threadedComment>
  <threadedComment ref="J23" dT="2019-04-05T17:35:29.30" personId="{FE8A0FAA-ECA0-48DA-99E8-0454A9B0CB6D}" id="{9A8CEB3F-3FF4-41D1-90E5-9CFE9A71C044}">
    <text>Hide this - never used.  Intermediate 2 very rarely used.</text>
  </threadedComment>
  <threadedComment ref="A47" dT="2019-04-19T12:34:20.61" personId="{FE8A0FAA-ECA0-48DA-99E8-0454A9B0CB6D}" id="{F19D2392-3CDB-4E61-849D-3A075A25D2C7}">
    <text>The amount needed for workability</text>
  </threadedComment>
  <threadedComment ref="A48" dT="2019-04-19T12:34:07.46" personId="{FE8A0FAA-ECA0-48DA-99E8-0454A9B0CB6D}" id="{F9509165-22E6-4D37-BD6E-8F7345347C49}">
    <text>Amount needed for cohesion</text>
  </threadedComment>
</ThreadedComments>
</file>

<file path=xl/threadedComments/threadedComment2.xml><?xml version="1.0" encoding="utf-8"?>
<ThreadedComments xmlns="http://schemas.microsoft.com/office/spreadsheetml/2018/threadedcomments" xmlns:x="http://schemas.openxmlformats.org/spreadsheetml/2006/main">
  <threadedComment ref="E13" dT="2019-09-05T18:27:01.52" personId="{FE8A0FAA-ECA0-48DA-99E8-0454A9B0CB6D}" id="{DE894D54-EBCD-4F56-8F57-4CAEC7FC8AB7}">
    <text>Keep as 1 if not using - For Calculations</text>
  </threadedComment>
  <threadedComment ref="E14" dT="2019-09-05T18:26:57.47" personId="{FE8A0FAA-ECA0-48DA-99E8-0454A9B0CB6D}" id="{21D202DF-74DE-4A0D-AB73-493301DA7010}">
    <text>Keep as 1 if not using - For Calculations</text>
  </threadedComment>
  <threadedComment ref="D25" dT="2019-04-19T13:01:21.05" personId="{FE8A0FAA-ECA0-48DA-99E8-0454A9B0CB6D}" id="{34C63501-6236-4D07-9578-BD94D84BEA89}">
    <text>From Tab 'Unit Weight_Voids in Aggregates'
Use this number for voids in aggregates (B25) if you choose to use this tab for calculations</text>
  </threadedComment>
  <threadedComment ref="D29" dT="2019-03-14T18:02:10.12" personId="{FE8A0FAA-ECA0-48DA-99E8-0454A9B0CB6D}" id="{D1F4FC26-7520-4351-AF5C-7297B33E5E0B}">
    <text>Find on WisDOT APL</text>
  </threadedComment>
</ThreadedComments>
</file>

<file path=xl/threadedComments/threadedComment3.xml><?xml version="1.0" encoding="utf-8"?>
<ThreadedComments xmlns="http://schemas.microsoft.com/office/spreadsheetml/2018/threadedcomments" xmlns:x="http://schemas.openxmlformats.org/spreadsheetml/2006/main">
  <threadedComment ref="E16" dT="2019-04-22T17:05:19.89" personId="{FE8A0FAA-ECA0-48DA-99E8-0454A9B0CB6D}" id="{797A6F45-B402-4649-9DF5-81A0C1CB22D6}">
    <text>SSD</text>
  </threadedComment>
  <threadedComment ref="E17" dT="2019-04-22T17:05:24.67" personId="{FE8A0FAA-ECA0-48DA-99E8-0454A9B0CB6D}" id="{C28A58CE-60EA-458D-ACDF-4964D99CB719}">
    <text>SSD</text>
  </threadedComment>
  <threadedComment ref="E18" dT="2019-04-22T17:05:31.65" personId="{FE8A0FAA-ECA0-48DA-99E8-0454A9B0CB6D}" id="{FE348412-3CD0-4AA6-B334-D2BA86782E9D}">
    <text>SSD</text>
  </threadedComment>
  <threadedComment ref="E19" dT="2019-04-22T17:05:35.28" personId="{FE8A0FAA-ECA0-48DA-99E8-0454A9B0CB6D}" id="{A9786EF0-55AC-4C50-ABA2-72701618CF5D}">
    <text>SSD</text>
  </threadedComment>
  <threadedComment ref="E20" dT="2019-04-22T17:04:27.18" personId="{FE8A0FAA-ECA0-48DA-99E8-0454A9B0CB6D}" id="{C1939E00-4A5D-4731-9F19-5B36B5538BA0}">
    <text>SSD</text>
  </threadedComment>
  <threadedComment ref="B33" dT="2019-06-19T21:04:39.73" personId="{FE8A0FAA-ECA0-48DA-99E8-0454A9B0CB6D}" id="{642C1A15-0135-447E-A9A8-1026460957F0}">
    <text>Input target Total Agg Weight (see table in section 501.3.2.2 - ie. for Grade A concrete input 3120 lb)
This input is required for solver to function properly.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DC78-A73B-4DEE-8BA5-C12B7A4140F3}">
  <dimension ref="A1:X185"/>
  <sheetViews>
    <sheetView showGridLines="0" tabSelected="1" zoomScaleNormal="100" zoomScaleSheetLayoutView="85" workbookViewId="0">
      <selection activeCell="M1" sqref="M1"/>
    </sheetView>
  </sheetViews>
  <sheetFormatPr defaultColWidth="9.33203125" defaultRowHeight="15.6" x14ac:dyDescent="0.3"/>
  <cols>
    <col min="1" max="1" width="18.44140625" style="4" customWidth="1"/>
    <col min="2" max="7" width="13.33203125" style="4" customWidth="1"/>
    <col min="8" max="11" width="10.6640625" style="4" hidden="1" customWidth="1"/>
    <col min="12" max="16" width="13.33203125" style="4" customWidth="1"/>
    <col min="17" max="17" width="13.6640625" style="4" customWidth="1"/>
    <col min="18" max="18" width="12.6640625" style="4" bestFit="1" customWidth="1"/>
    <col min="19" max="19" width="9.33203125" style="4" bestFit="1" customWidth="1"/>
    <col min="20" max="20" width="14" style="4" customWidth="1"/>
    <col min="21" max="21" width="11.6640625" style="4" customWidth="1"/>
    <col min="22" max="22" width="9.33203125" style="4" bestFit="1" customWidth="1"/>
    <col min="23" max="23" width="11.5546875" style="4" customWidth="1"/>
    <col min="24" max="24" width="0" style="4" hidden="1" customWidth="1"/>
    <col min="25" max="26" width="9.33203125" style="4" bestFit="1" customWidth="1"/>
    <col min="27" max="16384" width="9.33203125" style="4"/>
  </cols>
  <sheetData>
    <row r="1" spans="1:21" ht="16.2" thickBot="1" x14ac:dyDescent="0.35">
      <c r="A1" s="583" t="s">
        <v>310</v>
      </c>
      <c r="B1" s="584"/>
      <c r="C1" s="584"/>
      <c r="D1" s="584"/>
      <c r="E1" s="584"/>
      <c r="F1" s="584"/>
      <c r="G1" s="585"/>
      <c r="H1" s="3"/>
      <c r="I1" s="3"/>
      <c r="J1" s="3"/>
      <c r="K1" s="3"/>
      <c r="L1" s="318" t="s">
        <v>21</v>
      </c>
      <c r="M1" s="306"/>
    </row>
    <row r="2" spans="1:21" ht="15.6" customHeight="1" x14ac:dyDescent="0.3">
      <c r="A2" s="627" t="s">
        <v>22</v>
      </c>
      <c r="B2" s="628"/>
      <c r="C2" s="628"/>
      <c r="D2" s="628"/>
      <c r="E2" s="628"/>
      <c r="F2" s="628"/>
      <c r="G2" s="628"/>
      <c r="H2" s="629"/>
      <c r="I2" s="629"/>
      <c r="J2" s="629"/>
      <c r="K2" s="629"/>
      <c r="L2" s="629"/>
      <c r="M2" s="630"/>
    </row>
    <row r="3" spans="1:21" x14ac:dyDescent="0.3">
      <c r="A3" s="631" t="s">
        <v>23</v>
      </c>
      <c r="B3" s="632"/>
      <c r="C3" s="632" t="s">
        <v>24</v>
      </c>
      <c r="D3" s="632"/>
      <c r="E3" s="633" t="s">
        <v>25</v>
      </c>
      <c r="F3" s="634"/>
      <c r="G3" s="634"/>
      <c r="H3" s="5"/>
      <c r="I3" s="5"/>
      <c r="J3" s="6"/>
      <c r="K3" s="6"/>
      <c r="L3" s="611" t="s">
        <v>26</v>
      </c>
      <c r="M3" s="613"/>
    </row>
    <row r="4" spans="1:21" x14ac:dyDescent="0.3">
      <c r="A4" s="604"/>
      <c r="B4" s="606"/>
      <c r="C4" s="607"/>
      <c r="D4" s="606"/>
      <c r="E4" s="635"/>
      <c r="F4" s="636"/>
      <c r="G4" s="636"/>
      <c r="H4" s="636"/>
      <c r="I4" s="7"/>
      <c r="J4" s="5"/>
      <c r="K4" s="5"/>
      <c r="L4" s="637"/>
      <c r="M4" s="638"/>
      <c r="S4" s="4" t="s">
        <v>6</v>
      </c>
    </row>
    <row r="5" spans="1:21" x14ac:dyDescent="0.3">
      <c r="A5" s="609" t="s">
        <v>27</v>
      </c>
      <c r="B5" s="610"/>
      <c r="C5" s="610"/>
      <c r="D5" s="610"/>
      <c r="E5" s="611" t="s">
        <v>28</v>
      </c>
      <c r="F5" s="612"/>
      <c r="G5" s="612"/>
      <c r="H5" s="612"/>
      <c r="I5" s="612"/>
      <c r="J5" s="612"/>
      <c r="K5" s="612"/>
      <c r="L5" s="612"/>
      <c r="M5" s="613"/>
    </row>
    <row r="6" spans="1:21" x14ac:dyDescent="0.3">
      <c r="A6" s="604"/>
      <c r="B6" s="605"/>
      <c r="C6" s="605"/>
      <c r="D6" s="606"/>
      <c r="E6" s="607"/>
      <c r="F6" s="605"/>
      <c r="G6" s="605"/>
      <c r="H6" s="605"/>
      <c r="I6" s="605"/>
      <c r="J6" s="605"/>
      <c r="K6" s="605"/>
      <c r="L6" s="605"/>
      <c r="M6" s="608"/>
    </row>
    <row r="7" spans="1:21" ht="15.45" customHeight="1" x14ac:dyDescent="0.3">
      <c r="A7" s="609" t="s">
        <v>29</v>
      </c>
      <c r="B7" s="610"/>
      <c r="C7" s="610"/>
      <c r="D7" s="610"/>
      <c r="E7" s="611" t="s">
        <v>30</v>
      </c>
      <c r="F7" s="612"/>
      <c r="G7" s="612"/>
      <c r="H7" s="612"/>
      <c r="I7" s="612"/>
      <c r="J7" s="612"/>
      <c r="K7" s="612"/>
      <c r="L7" s="612"/>
      <c r="M7" s="613"/>
      <c r="N7" s="625" t="s">
        <v>252</v>
      </c>
      <c r="O7" s="626"/>
      <c r="P7" s="401">
        <v>4.5</v>
      </c>
      <c r="Q7" s="5"/>
    </row>
    <row r="8" spans="1:21" ht="16.2" thickBot="1" x14ac:dyDescent="0.35">
      <c r="A8" s="620"/>
      <c r="B8" s="621"/>
      <c r="C8" s="621"/>
      <c r="D8" s="621"/>
      <c r="E8" s="622"/>
      <c r="F8" s="623"/>
      <c r="G8" s="623"/>
      <c r="H8" s="623"/>
      <c r="I8" s="623"/>
      <c r="J8" s="623"/>
      <c r="K8" s="623"/>
      <c r="L8" s="623"/>
      <c r="M8" s="624"/>
      <c r="O8" s="400" t="s">
        <v>309</v>
      </c>
    </row>
    <row r="9" spans="1:21" ht="7.5" customHeight="1" thickBot="1" x14ac:dyDescent="0.35">
      <c r="A9" s="8"/>
      <c r="B9" s="9"/>
      <c r="C9" s="9"/>
      <c r="D9" s="9"/>
      <c r="E9" s="9"/>
      <c r="F9" s="9"/>
      <c r="G9" s="9"/>
      <c r="H9" s="9"/>
      <c r="I9" s="9"/>
      <c r="J9" s="9"/>
      <c r="K9" s="9"/>
      <c r="L9" s="9"/>
      <c r="M9" s="9"/>
      <c r="R9" s="5"/>
    </row>
    <row r="10" spans="1:21" ht="16.2" thickBot="1" x14ac:dyDescent="0.35">
      <c r="A10" s="583" t="s">
        <v>31</v>
      </c>
      <c r="B10" s="584"/>
      <c r="C10" s="584"/>
      <c r="D10" s="584"/>
      <c r="E10" s="584"/>
      <c r="F10" s="584"/>
      <c r="G10" s="584"/>
      <c r="H10" s="584"/>
      <c r="I10" s="584"/>
      <c r="J10" s="584"/>
      <c r="K10" s="584"/>
      <c r="L10" s="584"/>
      <c r="M10" s="585"/>
      <c r="R10" s="10"/>
      <c r="U10" s="11"/>
    </row>
    <row r="11" spans="1:21" s="12" customFormat="1" ht="16.2" thickBot="1" x14ac:dyDescent="0.35">
      <c r="A11" s="316" t="s">
        <v>32</v>
      </c>
      <c r="B11" s="614" t="s">
        <v>307</v>
      </c>
      <c r="C11" s="615"/>
      <c r="D11" s="616" t="s">
        <v>297</v>
      </c>
      <c r="E11" s="616"/>
      <c r="F11" s="307" t="s">
        <v>308</v>
      </c>
      <c r="G11" s="308" t="s">
        <v>34</v>
      </c>
      <c r="H11" s="317"/>
      <c r="I11" s="317"/>
      <c r="J11" s="317"/>
      <c r="K11" s="317"/>
      <c r="L11" s="58" t="s">
        <v>244</v>
      </c>
      <c r="M11" s="60" t="s">
        <v>35</v>
      </c>
    </row>
    <row r="12" spans="1:21" x14ac:dyDescent="0.3">
      <c r="A12" s="427" t="s">
        <v>245</v>
      </c>
      <c r="B12" s="617"/>
      <c r="C12" s="618"/>
      <c r="D12" s="617"/>
      <c r="E12" s="619"/>
      <c r="F12" s="424"/>
      <c r="G12" s="412"/>
      <c r="H12" s="425"/>
      <c r="I12" s="425"/>
      <c r="J12" s="425"/>
      <c r="K12" s="425"/>
      <c r="L12" s="374"/>
      <c r="M12" s="415">
        <f>$G$12*(1+($L$12/100))</f>
        <v>0</v>
      </c>
    </row>
    <row r="13" spans="1:21" x14ac:dyDescent="0.3">
      <c r="A13" s="404" t="s">
        <v>42</v>
      </c>
      <c r="B13" s="586"/>
      <c r="C13" s="587"/>
      <c r="D13" s="586"/>
      <c r="E13" s="588"/>
      <c r="F13" s="424"/>
      <c r="G13" s="413"/>
      <c r="H13" s="425"/>
      <c r="I13" s="425"/>
      <c r="J13" s="425"/>
      <c r="K13" s="425"/>
      <c r="L13" s="374"/>
      <c r="M13" s="416">
        <f>$G$13*(1+($L$13/100))</f>
        <v>0</v>
      </c>
    </row>
    <row r="14" spans="1:21" x14ac:dyDescent="0.3">
      <c r="A14" s="427" t="s">
        <v>246</v>
      </c>
      <c r="B14" s="586"/>
      <c r="C14" s="587"/>
      <c r="D14" s="586"/>
      <c r="E14" s="588"/>
      <c r="F14" s="424"/>
      <c r="G14" s="413"/>
      <c r="H14" s="425"/>
      <c r="I14" s="425"/>
      <c r="J14" s="425"/>
      <c r="K14" s="425"/>
      <c r="L14" s="374"/>
      <c r="M14" s="416">
        <f>$G$14*(1+($L$14/100))</f>
        <v>0</v>
      </c>
    </row>
    <row r="15" spans="1:21" x14ac:dyDescent="0.3">
      <c r="A15" s="402" t="s">
        <v>288</v>
      </c>
      <c r="B15" s="586"/>
      <c r="C15" s="587"/>
      <c r="D15" s="586"/>
      <c r="E15" s="588"/>
      <c r="F15" s="424"/>
      <c r="G15" s="413">
        <v>1</v>
      </c>
      <c r="H15" s="425"/>
      <c r="I15" s="425"/>
      <c r="J15" s="425"/>
      <c r="K15" s="425"/>
      <c r="L15" s="374"/>
      <c r="M15" s="416">
        <f>$G$15*(1+($L$15/100))</f>
        <v>1</v>
      </c>
    </row>
    <row r="16" spans="1:21" ht="16.2" thickBot="1" x14ac:dyDescent="0.35">
      <c r="A16" s="403" t="s">
        <v>289</v>
      </c>
      <c r="B16" s="589"/>
      <c r="C16" s="590"/>
      <c r="D16" s="589"/>
      <c r="E16" s="591"/>
      <c r="F16" s="373"/>
      <c r="G16" s="414">
        <v>1</v>
      </c>
      <c r="H16" s="425"/>
      <c r="I16" s="425"/>
      <c r="J16" s="425"/>
      <c r="K16" s="425"/>
      <c r="L16" s="375"/>
      <c r="M16" s="417">
        <f>$G$16*(1+($L$16/100))</f>
        <v>1</v>
      </c>
    </row>
    <row r="17" spans="1:24" s="23" customFormat="1" ht="16.2" thickBot="1" x14ac:dyDescent="0.35">
      <c r="A17" s="18"/>
      <c r="B17" s="19"/>
      <c r="C17" s="20"/>
      <c r="D17" s="20"/>
      <c r="E17" s="21"/>
      <c r="F17" s="19"/>
      <c r="G17" s="22"/>
      <c r="H17" s="23">
        <f>IF(OR(AND(F27=0,G24=0),(F27&lt;&gt;0)),0,1)</f>
        <v>0</v>
      </c>
      <c r="I17" s="23">
        <f>IF(OR(AND(H27=0,I24=0),(H27&lt;&gt;0)),0,1)</f>
        <v>0</v>
      </c>
      <c r="J17" s="23">
        <f>IF(OR(AND(J27=0,K24=0),(J27&lt;&gt;0)),0,1)</f>
        <v>0</v>
      </c>
      <c r="K17" s="4">
        <f>H17+I17+J17</f>
        <v>0</v>
      </c>
    </row>
    <row r="18" spans="1:24" ht="16.2" thickBot="1" x14ac:dyDescent="0.35">
      <c r="A18" s="592" t="s">
        <v>36</v>
      </c>
      <c r="B18" s="593"/>
      <c r="C18" s="292" t="str">
        <f>IF(ISNUMBER('3 Mix Design'!B25),'3 Mix Design'!B25,"")</f>
        <v/>
      </c>
      <c r="D18" s="24"/>
      <c r="E18" s="601" t="s">
        <v>296</v>
      </c>
      <c r="F18" s="602"/>
      <c r="G18" s="602"/>
      <c r="H18" s="602"/>
      <c r="I18" s="602"/>
      <c r="J18" s="602"/>
      <c r="K18" s="602"/>
      <c r="L18" s="603"/>
      <c r="M18" s="423" t="str">
        <f>IF(ISNUMBER('3 Mix Design'!F25),'3 Mix Design'!F25,"")</f>
        <v/>
      </c>
    </row>
    <row r="19" spans="1:24" ht="16.2" thickBot="1" x14ac:dyDescent="0.35">
      <c r="A19" s="27"/>
      <c r="B19" s="28"/>
      <c r="C19" s="29"/>
      <c r="D19" s="24"/>
      <c r="E19" s="25"/>
      <c r="L19" s="26"/>
    </row>
    <row r="20" spans="1:24" ht="15.6" customHeight="1" thickBot="1" x14ac:dyDescent="0.35">
      <c r="A20" s="583" t="s">
        <v>37</v>
      </c>
      <c r="B20" s="584"/>
      <c r="C20" s="584"/>
      <c r="D20" s="584"/>
      <c r="E20" s="584"/>
      <c r="F20" s="584"/>
      <c r="G20" s="584"/>
      <c r="H20" s="584"/>
      <c r="I20" s="584"/>
      <c r="J20" s="584"/>
      <c r="K20" s="584"/>
      <c r="L20" s="584"/>
      <c r="M20" s="584"/>
      <c r="N20" s="584"/>
      <c r="O20" s="584"/>
      <c r="P20" s="585"/>
    </row>
    <row r="21" spans="1:24" ht="14.7" hidden="1" customHeight="1" x14ac:dyDescent="0.3">
      <c r="A21" s="30"/>
      <c r="B21" s="5"/>
      <c r="C21" s="31"/>
      <c r="D21" s="32"/>
      <c r="E21" s="33"/>
      <c r="F21" s="5"/>
      <c r="G21" s="5"/>
      <c r="H21" s="34">
        <f>IF(OR(AND(F27=0,G24=0),(F27&lt;&gt;0)),0,1)</f>
        <v>0</v>
      </c>
      <c r="I21" s="5"/>
      <c r="J21" s="34">
        <f>IF(OR(AND(H27=0,I24=0),(H27&lt;&gt;0)),0,1)</f>
        <v>0</v>
      </c>
      <c r="K21" s="5"/>
      <c r="L21" s="34">
        <f>IF(OR(AND(J27=0,K24=0),(J27&lt;&gt;0)),0,1)</f>
        <v>0</v>
      </c>
      <c r="M21" s="5"/>
      <c r="N21" s="34">
        <f>H21+J21+L21</f>
        <v>0</v>
      </c>
      <c r="O21" s="5"/>
      <c r="P21" s="35"/>
      <c r="Q21" s="36"/>
      <c r="S21" s="36"/>
      <c r="T21" s="37"/>
    </row>
    <row r="22" spans="1:24" s="12" customFormat="1" ht="16.2" thickBot="1" x14ac:dyDescent="0.35">
      <c r="A22" s="594" t="s">
        <v>38</v>
      </c>
      <c r="B22" s="595"/>
      <c r="C22" s="595"/>
      <c r="D22" s="595"/>
      <c r="E22" s="490"/>
      <c r="F22" s="38" t="s">
        <v>39</v>
      </c>
      <c r="G22" s="39"/>
      <c r="H22" s="40"/>
      <c r="I22" s="40"/>
      <c r="J22" s="40"/>
      <c r="K22" s="40"/>
      <c r="L22" s="596" t="s">
        <v>40</v>
      </c>
      <c r="M22" s="597"/>
      <c r="N22" s="598"/>
      <c r="O22" s="596"/>
      <c r="P22" s="598"/>
      <c r="Q22" s="41"/>
    </row>
    <row r="23" spans="1:24" s="52" customFormat="1" ht="31.8" thickBot="1" x14ac:dyDescent="0.35">
      <c r="A23" s="475">
        <f>C24+E24+G24+I24+K24</f>
        <v>0</v>
      </c>
      <c r="B23" s="298" t="str">
        <f>IF(ISTEXT(A12),A12,"")</f>
        <v>Coarse A</v>
      </c>
      <c r="C23" s="42" t="str">
        <f>IF(ISTEXT(D12),D12,"")</f>
        <v/>
      </c>
      <c r="D23" s="298" t="str">
        <f>IF(ISTEXT(A13),A13,"")</f>
        <v>Fine</v>
      </c>
      <c r="E23" s="43" t="str">
        <f>IF(ISTEXT(D13),D13,"")</f>
        <v/>
      </c>
      <c r="F23" s="298" t="str">
        <f>A14</f>
        <v>Coarse B</v>
      </c>
      <c r="G23" s="44" t="str">
        <f>IF(ISTEXT(D14),D14,"")</f>
        <v/>
      </c>
      <c r="H23" s="45" t="str">
        <f>A15</f>
        <v>Other A - If Used</v>
      </c>
      <c r="I23" s="46">
        <f>D15</f>
        <v>0</v>
      </c>
      <c r="J23" s="45" t="str">
        <f>A16</f>
        <v>Other B - If Used</v>
      </c>
      <c r="K23" s="47">
        <f>D16</f>
        <v>0</v>
      </c>
      <c r="L23" s="48" t="s">
        <v>43</v>
      </c>
      <c r="M23" s="49" t="s">
        <v>44</v>
      </c>
      <c r="N23" s="50" t="s">
        <v>45</v>
      </c>
      <c r="O23" s="48" t="s">
        <v>46</v>
      </c>
      <c r="P23" s="49" t="s">
        <v>47</v>
      </c>
      <c r="Q23" s="51"/>
    </row>
    <row r="24" spans="1:24" s="52" customFormat="1" ht="16.2" thickBot="1" x14ac:dyDescent="0.35">
      <c r="A24" s="13" t="s">
        <v>48</v>
      </c>
      <c r="B24" s="53"/>
      <c r="C24" s="377"/>
      <c r="D24" s="54"/>
      <c r="E24" s="379"/>
      <c r="F24" s="54"/>
      <c r="G24" s="381"/>
      <c r="H24" s="55"/>
      <c r="I24" s="56">
        <v>0</v>
      </c>
      <c r="J24" s="55"/>
      <c r="K24" s="57">
        <v>0</v>
      </c>
      <c r="L24" s="58" t="s">
        <v>49</v>
      </c>
      <c r="M24" s="59" t="s">
        <v>46</v>
      </c>
      <c r="N24" s="295" t="s">
        <v>46</v>
      </c>
      <c r="O24" s="58" t="s">
        <v>50</v>
      </c>
      <c r="P24" s="60" t="s">
        <v>51</v>
      </c>
    </row>
    <row r="25" spans="1:24" s="52" customFormat="1" ht="16.2" thickBot="1" x14ac:dyDescent="0.35">
      <c r="A25" s="13" t="s">
        <v>52</v>
      </c>
      <c r="B25" s="54"/>
      <c r="C25" s="378" t="str">
        <f>IF(ISBLANK(G12),"",C24/G12/O25*100)</f>
        <v/>
      </c>
      <c r="D25" s="61"/>
      <c r="E25" s="380" t="str">
        <f>IF(ISBLANK(G13),"",E24/G13/O25*100)</f>
        <v/>
      </c>
      <c r="F25" s="62"/>
      <c r="G25" s="382" t="str">
        <f>IF(ISBLANK(G14),"",G24/G14/O25*100)</f>
        <v/>
      </c>
      <c r="H25" s="63"/>
      <c r="I25" s="64" t="e">
        <f>I24/G15/O25*100</f>
        <v>#DIV/0!</v>
      </c>
      <c r="J25" s="63"/>
      <c r="K25" s="65" t="e">
        <f>K24/G16/O25*100</f>
        <v>#DIV/0!</v>
      </c>
      <c r="L25" s="58"/>
      <c r="M25" s="59"/>
      <c r="N25" s="295"/>
      <c r="O25" s="66" t="e">
        <f>C24/G12+E24/G13+G24/G14</f>
        <v>#DIV/0!</v>
      </c>
      <c r="P25" s="67"/>
    </row>
    <row r="26" spans="1:24" s="52" customFormat="1" ht="16.2" thickBot="1" x14ac:dyDescent="0.35">
      <c r="A26" s="13" t="s">
        <v>53</v>
      </c>
      <c r="B26" s="296" t="s">
        <v>54</v>
      </c>
      <c r="C26" s="59" t="s">
        <v>55</v>
      </c>
      <c r="D26" s="68" t="s">
        <v>54</v>
      </c>
      <c r="E26" s="13" t="s">
        <v>55</v>
      </c>
      <c r="F26" s="68" t="s">
        <v>54</v>
      </c>
      <c r="G26" s="69" t="s">
        <v>55</v>
      </c>
      <c r="H26" s="70" t="s">
        <v>54</v>
      </c>
      <c r="I26" s="71" t="s">
        <v>55</v>
      </c>
      <c r="J26" s="70" t="s">
        <v>54</v>
      </c>
      <c r="K26" s="297" t="s">
        <v>55</v>
      </c>
      <c r="L26" s="72" t="s">
        <v>56</v>
      </c>
      <c r="M26" s="73" t="s">
        <v>56</v>
      </c>
      <c r="N26" s="74" t="s">
        <v>56</v>
      </c>
      <c r="O26" s="72" t="s">
        <v>56</v>
      </c>
      <c r="P26" s="59"/>
    </row>
    <row r="27" spans="1:24" s="23" customFormat="1" x14ac:dyDescent="0.3">
      <c r="A27" s="75" t="s">
        <v>57</v>
      </c>
      <c r="B27" s="476"/>
      <c r="C27" s="76">
        <f>SUM(B27*C$24)/100</f>
        <v>0</v>
      </c>
      <c r="D27" s="476"/>
      <c r="E27" s="76">
        <f t="shared" ref="E27:E39" si="0">SUM(D27*E$24)/100</f>
        <v>0</v>
      </c>
      <c r="F27" s="476"/>
      <c r="G27" s="76">
        <f t="shared" ref="G27:G39" si="1">SUM(F27*G$24)/100</f>
        <v>0</v>
      </c>
      <c r="H27" s="77">
        <v>0</v>
      </c>
      <c r="I27" s="76">
        <f t="shared" ref="I27:I39" si="2">SUM(H27*I$24)/100</f>
        <v>0</v>
      </c>
      <c r="J27" s="77">
        <v>0</v>
      </c>
      <c r="K27" s="76">
        <f t="shared" ref="K27:K39" si="3">SUM(J27*K$24)/100</f>
        <v>0</v>
      </c>
      <c r="L27" s="78">
        <f t="shared" ref="L27:L39" si="4">SUM(C27+E27+G27+I27+K27)</f>
        <v>0</v>
      </c>
      <c r="M27" s="357">
        <f>100-L27</f>
        <v>100</v>
      </c>
      <c r="N27" s="288">
        <v>0</v>
      </c>
      <c r="O27" s="78" t="str">
        <f>IF(ISBLANK(B27),"", '4 Agg Analysis'!S26)</f>
        <v/>
      </c>
      <c r="P27" s="290"/>
      <c r="X27" s="23">
        <v>100</v>
      </c>
    </row>
    <row r="28" spans="1:24" s="23" customFormat="1" x14ac:dyDescent="0.3">
      <c r="A28" s="79" t="s">
        <v>58</v>
      </c>
      <c r="B28" s="477"/>
      <c r="C28" s="80">
        <f t="shared" ref="C28:C39" si="5">SUM(B28*C$24)/100</f>
        <v>0</v>
      </c>
      <c r="D28" s="477"/>
      <c r="E28" s="80">
        <f t="shared" si="0"/>
        <v>0</v>
      </c>
      <c r="F28" s="477"/>
      <c r="G28" s="80">
        <f t="shared" si="1"/>
        <v>0</v>
      </c>
      <c r="H28" s="81">
        <v>0</v>
      </c>
      <c r="I28" s="80">
        <f t="shared" si="2"/>
        <v>0</v>
      </c>
      <c r="J28" s="81">
        <v>0</v>
      </c>
      <c r="K28" s="80">
        <f t="shared" si="3"/>
        <v>0</v>
      </c>
      <c r="L28" s="82">
        <f t="shared" si="4"/>
        <v>0</v>
      </c>
      <c r="M28" s="80">
        <f t="shared" ref="M28:M39" si="6">100-L28</f>
        <v>100</v>
      </c>
      <c r="N28" s="285">
        <f>M28-M27</f>
        <v>0</v>
      </c>
      <c r="O28" s="82" t="str">
        <f>IF(ISBLANK(B28),"", '4 Agg Analysis'!S27)</f>
        <v/>
      </c>
      <c r="P28" s="286"/>
      <c r="X28" s="23">
        <v>100</v>
      </c>
    </row>
    <row r="29" spans="1:24" s="23" customFormat="1" x14ac:dyDescent="0.3">
      <c r="A29" s="79" t="s">
        <v>59</v>
      </c>
      <c r="B29" s="477"/>
      <c r="C29" s="80">
        <f t="shared" si="5"/>
        <v>0</v>
      </c>
      <c r="D29" s="477"/>
      <c r="E29" s="80">
        <f t="shared" si="0"/>
        <v>0</v>
      </c>
      <c r="F29" s="477"/>
      <c r="G29" s="80">
        <f t="shared" si="1"/>
        <v>0</v>
      </c>
      <c r="H29" s="81">
        <v>0</v>
      </c>
      <c r="I29" s="80">
        <f t="shared" si="2"/>
        <v>0</v>
      </c>
      <c r="J29" s="81">
        <v>0</v>
      </c>
      <c r="K29" s="80">
        <f t="shared" si="3"/>
        <v>0</v>
      </c>
      <c r="L29" s="82">
        <f t="shared" si="4"/>
        <v>0</v>
      </c>
      <c r="M29" s="80">
        <f t="shared" si="6"/>
        <v>100</v>
      </c>
      <c r="N29" s="285">
        <f t="shared" ref="N29:N39" si="7">M29-M28</f>
        <v>0</v>
      </c>
      <c r="O29" s="82" t="str">
        <f>IF(ISBLANK(B29),"", '4 Agg Analysis'!S28)</f>
        <v/>
      </c>
      <c r="P29" s="286"/>
      <c r="X29" s="23">
        <v>100</v>
      </c>
    </row>
    <row r="30" spans="1:24" s="23" customFormat="1" x14ac:dyDescent="0.3">
      <c r="A30" s="79" t="s">
        <v>60</v>
      </c>
      <c r="B30" s="477"/>
      <c r="C30" s="80">
        <f t="shared" si="5"/>
        <v>0</v>
      </c>
      <c r="D30" s="477"/>
      <c r="E30" s="80">
        <f t="shared" si="0"/>
        <v>0</v>
      </c>
      <c r="F30" s="477"/>
      <c r="G30" s="80">
        <f t="shared" si="1"/>
        <v>0</v>
      </c>
      <c r="H30" s="81">
        <v>0</v>
      </c>
      <c r="I30" s="80">
        <f t="shared" si="2"/>
        <v>0</v>
      </c>
      <c r="J30" s="81">
        <v>0</v>
      </c>
      <c r="K30" s="80">
        <f t="shared" si="3"/>
        <v>0</v>
      </c>
      <c r="L30" s="82">
        <f t="shared" si="4"/>
        <v>0</v>
      </c>
      <c r="M30" s="80">
        <f t="shared" si="6"/>
        <v>100</v>
      </c>
      <c r="N30" s="285">
        <f t="shared" si="7"/>
        <v>0</v>
      </c>
      <c r="O30" s="82" t="str">
        <f>IF(ISBLANK(B30),"", '4 Agg Analysis'!S29)</f>
        <v/>
      </c>
      <c r="P30" s="286"/>
      <c r="X30" s="23">
        <v>100</v>
      </c>
    </row>
    <row r="31" spans="1:24" s="23" customFormat="1" x14ac:dyDescent="0.3">
      <c r="A31" s="79" t="s">
        <v>61</v>
      </c>
      <c r="B31" s="477"/>
      <c r="C31" s="80">
        <f t="shared" si="5"/>
        <v>0</v>
      </c>
      <c r="D31" s="477"/>
      <c r="E31" s="80">
        <f t="shared" si="0"/>
        <v>0</v>
      </c>
      <c r="F31" s="477"/>
      <c r="G31" s="80">
        <f t="shared" si="1"/>
        <v>0</v>
      </c>
      <c r="H31" s="81">
        <v>0</v>
      </c>
      <c r="I31" s="80">
        <f t="shared" si="2"/>
        <v>0</v>
      </c>
      <c r="J31" s="81">
        <v>0</v>
      </c>
      <c r="K31" s="80">
        <f t="shared" si="3"/>
        <v>0</v>
      </c>
      <c r="L31" s="82">
        <f t="shared" si="4"/>
        <v>0</v>
      </c>
      <c r="M31" s="80">
        <f t="shared" si="6"/>
        <v>100</v>
      </c>
      <c r="N31" s="285">
        <f t="shared" si="7"/>
        <v>0</v>
      </c>
      <c r="O31" s="82" t="str">
        <f>IF(ISBLANK(B31),"", '4 Agg Analysis'!S30)</f>
        <v/>
      </c>
      <c r="P31" s="286"/>
      <c r="X31" s="23">
        <v>100</v>
      </c>
    </row>
    <row r="32" spans="1:24" s="23" customFormat="1" x14ac:dyDescent="0.3">
      <c r="A32" s="79" t="s">
        <v>62</v>
      </c>
      <c r="B32" s="477"/>
      <c r="C32" s="80">
        <f t="shared" si="5"/>
        <v>0</v>
      </c>
      <c r="D32" s="477"/>
      <c r="E32" s="80">
        <f t="shared" si="0"/>
        <v>0</v>
      </c>
      <c r="F32" s="477"/>
      <c r="G32" s="80">
        <f t="shared" si="1"/>
        <v>0</v>
      </c>
      <c r="H32" s="81">
        <v>0</v>
      </c>
      <c r="I32" s="80">
        <f t="shared" si="2"/>
        <v>0</v>
      </c>
      <c r="J32" s="81">
        <v>0</v>
      </c>
      <c r="K32" s="80">
        <f t="shared" si="3"/>
        <v>0</v>
      </c>
      <c r="L32" s="82">
        <f t="shared" si="4"/>
        <v>0</v>
      </c>
      <c r="M32" s="80">
        <f t="shared" si="6"/>
        <v>100</v>
      </c>
      <c r="N32" s="285">
        <f t="shared" si="7"/>
        <v>0</v>
      </c>
      <c r="O32" s="82" t="str">
        <f>IF(ISBLANK(B32),"", '4 Agg Analysis'!S31)</f>
        <v/>
      </c>
      <c r="P32" s="287" t="str">
        <f>IF(ISBLANK(D32),"",100-D32)</f>
        <v/>
      </c>
      <c r="Q32" s="83"/>
      <c r="X32" s="23">
        <v>95</v>
      </c>
    </row>
    <row r="33" spans="1:24" s="23" customFormat="1" x14ac:dyDescent="0.3">
      <c r="A33" s="79" t="s">
        <v>63</v>
      </c>
      <c r="B33" s="477"/>
      <c r="C33" s="80">
        <f t="shared" si="5"/>
        <v>0</v>
      </c>
      <c r="D33" s="477"/>
      <c r="E33" s="80">
        <f t="shared" si="0"/>
        <v>0</v>
      </c>
      <c r="F33" s="477"/>
      <c r="G33" s="80">
        <f t="shared" si="1"/>
        <v>0</v>
      </c>
      <c r="H33" s="81">
        <v>0</v>
      </c>
      <c r="I33" s="80">
        <f t="shared" si="2"/>
        <v>0</v>
      </c>
      <c r="J33" s="81">
        <v>0</v>
      </c>
      <c r="K33" s="80">
        <f t="shared" si="3"/>
        <v>0</v>
      </c>
      <c r="L33" s="82">
        <f t="shared" si="4"/>
        <v>0</v>
      </c>
      <c r="M33" s="80">
        <f t="shared" si="6"/>
        <v>100</v>
      </c>
      <c r="N33" s="285">
        <f t="shared" si="7"/>
        <v>0</v>
      </c>
      <c r="O33" s="82" t="str">
        <f>IF(ISBLANK(B33),"", '4 Agg Analysis'!S32)</f>
        <v/>
      </c>
      <c r="P33" s="287" t="str">
        <f t="shared" ref="P33:P38" si="8">IF(ISBLANK(D33),"",100-D33)</f>
        <v/>
      </c>
      <c r="Q33" s="83"/>
      <c r="X33" s="23">
        <v>50</v>
      </c>
    </row>
    <row r="34" spans="1:24" s="23" customFormat="1" x14ac:dyDescent="0.3">
      <c r="A34" s="79" t="s">
        <v>64</v>
      </c>
      <c r="B34" s="477"/>
      <c r="C34" s="80">
        <f t="shared" si="5"/>
        <v>0</v>
      </c>
      <c r="D34" s="477"/>
      <c r="E34" s="80">
        <f t="shared" si="0"/>
        <v>0</v>
      </c>
      <c r="F34" s="477"/>
      <c r="G34" s="80">
        <f t="shared" si="1"/>
        <v>0</v>
      </c>
      <c r="H34" s="81">
        <v>0</v>
      </c>
      <c r="I34" s="80">
        <f t="shared" si="2"/>
        <v>0</v>
      </c>
      <c r="J34" s="81">
        <v>0</v>
      </c>
      <c r="K34" s="80">
        <f t="shared" si="3"/>
        <v>0</v>
      </c>
      <c r="L34" s="82">
        <f t="shared" si="4"/>
        <v>0</v>
      </c>
      <c r="M34" s="80">
        <f t="shared" si="6"/>
        <v>100</v>
      </c>
      <c r="N34" s="285">
        <f t="shared" si="7"/>
        <v>0</v>
      </c>
      <c r="O34" s="82" t="str">
        <f>IF(ISBLANK(B34),"", '4 Agg Analysis'!S33)</f>
        <v/>
      </c>
      <c r="P34" s="287" t="str">
        <f t="shared" si="8"/>
        <v/>
      </c>
      <c r="Q34" s="83"/>
      <c r="X34" s="23">
        <v>30</v>
      </c>
    </row>
    <row r="35" spans="1:24" s="23" customFormat="1" x14ac:dyDescent="0.3">
      <c r="A35" s="79" t="s">
        <v>65</v>
      </c>
      <c r="B35" s="477"/>
      <c r="C35" s="80">
        <f t="shared" si="5"/>
        <v>0</v>
      </c>
      <c r="D35" s="477"/>
      <c r="E35" s="80">
        <f t="shared" si="0"/>
        <v>0</v>
      </c>
      <c r="F35" s="477"/>
      <c r="G35" s="80">
        <f t="shared" si="1"/>
        <v>0</v>
      </c>
      <c r="H35" s="81">
        <v>0</v>
      </c>
      <c r="I35" s="80">
        <f t="shared" si="2"/>
        <v>0</v>
      </c>
      <c r="J35" s="81">
        <v>0</v>
      </c>
      <c r="K35" s="80">
        <f t="shared" si="3"/>
        <v>0</v>
      </c>
      <c r="L35" s="82">
        <f t="shared" si="4"/>
        <v>0</v>
      </c>
      <c r="M35" s="80">
        <f t="shared" si="6"/>
        <v>100</v>
      </c>
      <c r="N35" s="285">
        <f t="shared" si="7"/>
        <v>0</v>
      </c>
      <c r="O35" s="82" t="str">
        <f>IF(ISBLANK(B35),"", '4 Agg Analysis'!S34)</f>
        <v/>
      </c>
      <c r="P35" s="287" t="str">
        <f t="shared" si="8"/>
        <v/>
      </c>
      <c r="Q35" s="83"/>
      <c r="X35" s="23">
        <v>5</v>
      </c>
    </row>
    <row r="36" spans="1:24" s="23" customFormat="1" x14ac:dyDescent="0.3">
      <c r="A36" s="79" t="s">
        <v>66</v>
      </c>
      <c r="B36" s="477"/>
      <c r="C36" s="80">
        <f t="shared" si="5"/>
        <v>0</v>
      </c>
      <c r="D36" s="477"/>
      <c r="E36" s="80">
        <f t="shared" si="0"/>
        <v>0</v>
      </c>
      <c r="F36" s="477"/>
      <c r="G36" s="80">
        <f t="shared" si="1"/>
        <v>0</v>
      </c>
      <c r="H36" s="81">
        <v>0</v>
      </c>
      <c r="I36" s="80">
        <f t="shared" si="2"/>
        <v>0</v>
      </c>
      <c r="J36" s="81">
        <v>0</v>
      </c>
      <c r="K36" s="80">
        <f t="shared" si="3"/>
        <v>0</v>
      </c>
      <c r="L36" s="82">
        <f t="shared" si="4"/>
        <v>0</v>
      </c>
      <c r="M36" s="80">
        <f>100-L36</f>
        <v>100</v>
      </c>
      <c r="N36" s="285">
        <f>M36-M35</f>
        <v>0</v>
      </c>
      <c r="O36" s="82" t="str">
        <f>IF(ISBLANK(B36),"", '4 Agg Analysis'!S35)</f>
        <v/>
      </c>
      <c r="P36" s="287" t="str">
        <f t="shared" si="8"/>
        <v/>
      </c>
      <c r="Q36" s="83"/>
      <c r="X36" s="23">
        <v>0</v>
      </c>
    </row>
    <row r="37" spans="1:24" s="23" customFormat="1" x14ac:dyDescent="0.3">
      <c r="A37" s="79" t="s">
        <v>67</v>
      </c>
      <c r="B37" s="477"/>
      <c r="C37" s="80">
        <f t="shared" si="5"/>
        <v>0</v>
      </c>
      <c r="D37" s="477"/>
      <c r="E37" s="80">
        <f t="shared" si="0"/>
        <v>0</v>
      </c>
      <c r="F37" s="477"/>
      <c r="G37" s="80">
        <f t="shared" si="1"/>
        <v>0</v>
      </c>
      <c r="H37" s="81">
        <v>0</v>
      </c>
      <c r="I37" s="80">
        <f t="shared" si="2"/>
        <v>0</v>
      </c>
      <c r="J37" s="81">
        <v>0</v>
      </c>
      <c r="K37" s="80">
        <f t="shared" si="3"/>
        <v>0</v>
      </c>
      <c r="L37" s="82">
        <f t="shared" si="4"/>
        <v>0</v>
      </c>
      <c r="M37" s="80">
        <f t="shared" si="6"/>
        <v>100</v>
      </c>
      <c r="N37" s="285">
        <f t="shared" si="7"/>
        <v>0</v>
      </c>
      <c r="O37" s="82" t="str">
        <f>IF(ISBLANK(B37),"", '4 Agg Analysis'!S36)</f>
        <v/>
      </c>
      <c r="P37" s="287" t="str">
        <f t="shared" si="8"/>
        <v/>
      </c>
      <c r="Q37" s="83"/>
      <c r="X37" s="23">
        <v>0</v>
      </c>
    </row>
    <row r="38" spans="1:24" s="23" customFormat="1" x14ac:dyDescent="0.3">
      <c r="A38" s="79" t="s">
        <v>68</v>
      </c>
      <c r="B38" s="477"/>
      <c r="C38" s="80">
        <f t="shared" si="5"/>
        <v>0</v>
      </c>
      <c r="D38" s="477"/>
      <c r="E38" s="80">
        <f t="shared" si="0"/>
        <v>0</v>
      </c>
      <c r="F38" s="477"/>
      <c r="G38" s="80">
        <f t="shared" si="1"/>
        <v>0</v>
      </c>
      <c r="H38" s="81">
        <v>0</v>
      </c>
      <c r="I38" s="80">
        <f t="shared" si="2"/>
        <v>0</v>
      </c>
      <c r="J38" s="81">
        <v>0</v>
      </c>
      <c r="K38" s="80">
        <f t="shared" si="3"/>
        <v>0</v>
      </c>
      <c r="L38" s="82">
        <f t="shared" si="4"/>
        <v>0</v>
      </c>
      <c r="M38" s="80">
        <f t="shared" si="6"/>
        <v>100</v>
      </c>
      <c r="N38" s="285">
        <f t="shared" si="7"/>
        <v>0</v>
      </c>
      <c r="O38" s="82" t="str">
        <f>IF(ISBLANK(B38),"", '4 Agg Analysis'!S37)</f>
        <v/>
      </c>
      <c r="P38" s="287" t="str">
        <f t="shared" si="8"/>
        <v/>
      </c>
      <c r="Q38" s="83"/>
      <c r="X38" s="23">
        <v>0</v>
      </c>
    </row>
    <row r="39" spans="1:24" s="23" customFormat="1" ht="16.2" thickBot="1" x14ac:dyDescent="0.35">
      <c r="A39" s="84" t="s">
        <v>69</v>
      </c>
      <c r="B39" s="478"/>
      <c r="C39" s="85">
        <f t="shared" si="5"/>
        <v>0</v>
      </c>
      <c r="D39" s="478"/>
      <c r="E39" s="85">
        <f t="shared" si="0"/>
        <v>0</v>
      </c>
      <c r="F39" s="478"/>
      <c r="G39" s="85">
        <f t="shared" si="1"/>
        <v>0</v>
      </c>
      <c r="H39" s="86">
        <v>0</v>
      </c>
      <c r="I39" s="85">
        <f t="shared" si="2"/>
        <v>0</v>
      </c>
      <c r="J39" s="86">
        <v>0</v>
      </c>
      <c r="K39" s="85">
        <f t="shared" si="3"/>
        <v>0</v>
      </c>
      <c r="L39" s="87">
        <f t="shared" si="4"/>
        <v>0</v>
      </c>
      <c r="M39" s="85">
        <f t="shared" si="6"/>
        <v>100</v>
      </c>
      <c r="N39" s="289">
        <f t="shared" si="7"/>
        <v>0</v>
      </c>
      <c r="O39" s="87" t="str">
        <f>IF(ISBLANK(B39),"", '4 Agg Analysis'!S38)</f>
        <v/>
      </c>
      <c r="P39" s="293">
        <f t="shared" ref="P39" si="9">100-D39</f>
        <v>100</v>
      </c>
      <c r="Q39" s="83"/>
      <c r="X39" s="23">
        <v>0</v>
      </c>
    </row>
    <row r="40" spans="1:24" hidden="1" x14ac:dyDescent="0.3">
      <c r="A40" s="88"/>
      <c r="G40" s="4">
        <v>0</v>
      </c>
      <c r="H40" s="4">
        <f>SUM(G40*G$24)/100</f>
        <v>0</v>
      </c>
      <c r="I40" s="4" t="s">
        <v>70</v>
      </c>
      <c r="M40" s="89"/>
      <c r="N40" s="4" t="s">
        <v>71</v>
      </c>
      <c r="O40" s="80" t="e">
        <f>'4 Agg Analysis'!S39</f>
        <v>#VALUE!</v>
      </c>
      <c r="P40" s="91"/>
      <c r="R40" s="291"/>
    </row>
    <row r="41" spans="1:24" hidden="1" x14ac:dyDescent="0.3">
      <c r="A41" s="88"/>
      <c r="F41" s="4" t="s">
        <v>72</v>
      </c>
      <c r="H41" s="90" t="e">
        <f>'4 Agg Analysis'!H21</f>
        <v>#N/A</v>
      </c>
      <c r="I41" s="90"/>
      <c r="J41" s="90"/>
      <c r="K41" s="90"/>
      <c r="L41" s="90"/>
      <c r="O41" s="80">
        <f>'4 Agg Analysis'!S40</f>
        <v>0</v>
      </c>
      <c r="P41" s="90" t="e">
        <f>'4 Agg Analysis'!W39</f>
        <v>#VALUE!</v>
      </c>
      <c r="T41" s="10"/>
      <c r="U41" s="10"/>
    </row>
    <row r="42" spans="1:24" hidden="1" x14ac:dyDescent="0.3">
      <c r="A42" s="88"/>
      <c r="F42" s="4" t="s">
        <v>73</v>
      </c>
      <c r="G42" s="92"/>
      <c r="H42" s="90" t="e">
        <f>'4 Agg Analysis'!I21</f>
        <v>#N/A</v>
      </c>
      <c r="I42" s="90"/>
      <c r="J42" s="90"/>
      <c r="K42" s="90"/>
      <c r="L42" s="90"/>
      <c r="O42" s="80">
        <f>'4 Agg Analysis'!S41</f>
        <v>0</v>
      </c>
      <c r="P42" s="90" t="e">
        <f>'4 Agg Analysis'!X39</f>
        <v>#VALUE!</v>
      </c>
      <c r="T42" s="10"/>
      <c r="U42" s="10"/>
    </row>
    <row r="43" spans="1:24" hidden="1" x14ac:dyDescent="0.3">
      <c r="A43" s="88"/>
      <c r="E43" s="93"/>
      <c r="F43" s="36"/>
      <c r="G43" s="92"/>
      <c r="I43" s="4">
        <v>24</v>
      </c>
      <c r="O43" s="80">
        <f>'4 Agg Analysis'!S42</f>
        <v>0</v>
      </c>
      <c r="Q43" s="5"/>
      <c r="T43" s="10"/>
      <c r="U43" s="10"/>
    </row>
    <row r="44" spans="1:24" ht="16.2" thickBot="1" x14ac:dyDescent="0.35">
      <c r="A44" s="88"/>
      <c r="E44" s="93"/>
      <c r="F44" s="36"/>
      <c r="G44" s="92"/>
      <c r="P44" s="5"/>
      <c r="Q44" s="5"/>
      <c r="R44" s="5"/>
      <c r="T44" s="10"/>
      <c r="U44" s="10"/>
    </row>
    <row r="45" spans="1:24" ht="15.6" customHeight="1" thickBot="1" x14ac:dyDescent="0.35">
      <c r="A45" s="583" t="s">
        <v>74</v>
      </c>
      <c r="B45" s="584"/>
      <c r="C45" s="584"/>
      <c r="D45" s="584"/>
      <c r="E45" s="584"/>
      <c r="F45" s="584"/>
      <c r="G45" s="584"/>
      <c r="H45" s="584"/>
      <c r="I45" s="584"/>
      <c r="J45" s="584"/>
      <c r="K45" s="584"/>
      <c r="L45" s="585"/>
      <c r="N45" s="599" t="s">
        <v>290</v>
      </c>
      <c r="O45" s="600"/>
      <c r="P45" s="302" t="str">
        <f>IF(ISTEXT(P38),"",SUM(P32:P38)/100)</f>
        <v/>
      </c>
    </row>
    <row r="46" spans="1:24" s="97" customFormat="1" ht="15.6" customHeight="1" thickBot="1" x14ac:dyDescent="0.35">
      <c r="A46" s="94" t="s">
        <v>33</v>
      </c>
      <c r="B46" s="577" t="s">
        <v>75</v>
      </c>
      <c r="C46" s="577"/>
      <c r="D46" s="567" t="s">
        <v>76</v>
      </c>
      <c r="E46" s="568"/>
      <c r="F46" s="577" t="s">
        <v>77</v>
      </c>
      <c r="G46" s="568"/>
      <c r="H46" s="95"/>
      <c r="I46" s="95"/>
      <c r="J46" s="95"/>
      <c r="K46" s="95"/>
      <c r="L46" s="96" t="s">
        <v>78</v>
      </c>
      <c r="M46" s="95"/>
      <c r="N46" s="95"/>
      <c r="O46" s="95"/>
      <c r="P46" s="95"/>
    </row>
    <row r="47" spans="1:24" s="52" customFormat="1" x14ac:dyDescent="0.3">
      <c r="A47" s="98" t="s">
        <v>42</v>
      </c>
      <c r="B47" s="578" t="s">
        <v>79</v>
      </c>
      <c r="C47" s="579"/>
      <c r="D47" s="580" t="s">
        <v>80</v>
      </c>
      <c r="E47" s="580"/>
      <c r="F47" s="581">
        <f>SUM($N$36:$N$39)</f>
        <v>0</v>
      </c>
      <c r="G47" s="582"/>
      <c r="L47" s="70" t="str">
        <f>IF((AND(F47&gt;=24,F47&lt;=34)),"Pass","Fail")</f>
        <v>Fail</v>
      </c>
      <c r="Q47" s="99"/>
      <c r="R47" s="99"/>
    </row>
    <row r="48" spans="1:24" s="52" customFormat="1" ht="16.2" thickBot="1" x14ac:dyDescent="0.35">
      <c r="A48" s="62" t="s">
        <v>41</v>
      </c>
      <c r="B48" s="567" t="s">
        <v>81</v>
      </c>
      <c r="C48" s="568"/>
      <c r="D48" s="569" t="s">
        <v>82</v>
      </c>
      <c r="E48" s="569"/>
      <c r="F48" s="570">
        <f>SUM($N$34:$N$36)</f>
        <v>0</v>
      </c>
      <c r="G48" s="571"/>
      <c r="L48" s="59" t="str">
        <f>IF(F48&gt;15,"Pass","Fail")</f>
        <v>Fail</v>
      </c>
    </row>
    <row r="49" spans="1:17" s="52" customFormat="1" ht="16.2" thickBot="1" x14ac:dyDescent="0.35">
      <c r="A49" s="100"/>
      <c r="B49" s="101"/>
      <c r="C49" s="101"/>
      <c r="D49" s="296"/>
      <c r="E49" s="296"/>
      <c r="F49" s="102"/>
      <c r="G49" s="296"/>
      <c r="L49" s="296"/>
    </row>
    <row r="50" spans="1:17" s="52" customFormat="1" ht="16.2" thickBot="1" x14ac:dyDescent="0.35">
      <c r="A50" s="100"/>
      <c r="B50" s="101"/>
      <c r="C50" s="101"/>
      <c r="D50" s="296"/>
      <c r="E50" s="296"/>
      <c r="F50" s="574" t="s">
        <v>83</v>
      </c>
      <c r="G50" s="575"/>
      <c r="H50" s="575"/>
      <c r="I50" s="575"/>
      <c r="J50" s="575"/>
      <c r="K50" s="575"/>
      <c r="L50" s="575"/>
      <c r="M50" s="576"/>
      <c r="N50" s="103"/>
      <c r="O50" s="103"/>
      <c r="P50" s="103"/>
      <c r="Q50" s="103"/>
    </row>
    <row r="51" spans="1:17" ht="16.2" customHeight="1" thickBot="1" x14ac:dyDescent="0.35">
      <c r="F51" s="572" t="s">
        <v>84</v>
      </c>
      <c r="G51" s="565" t="s">
        <v>85</v>
      </c>
      <c r="H51" s="104"/>
      <c r="I51" s="104"/>
      <c r="J51" s="104"/>
      <c r="K51" s="104"/>
      <c r="L51" s="573" t="s">
        <v>251</v>
      </c>
      <c r="M51" s="565" t="s">
        <v>78</v>
      </c>
      <c r="N51" s="491"/>
      <c r="O51" s="491"/>
      <c r="P51" s="22"/>
    </row>
    <row r="52" spans="1:17" ht="36" customHeight="1" thickBot="1" x14ac:dyDescent="0.35">
      <c r="F52" s="572"/>
      <c r="G52" s="566"/>
      <c r="H52" s="105"/>
      <c r="I52" s="106"/>
      <c r="J52" s="106"/>
      <c r="K52" s="107"/>
      <c r="L52" s="573"/>
      <c r="M52" s="566"/>
      <c r="N52" s="492"/>
      <c r="O52" s="493"/>
      <c r="P52" s="22"/>
    </row>
    <row r="53" spans="1:17" x14ac:dyDescent="0.3">
      <c r="B53" s="36"/>
      <c r="C53" s="36"/>
      <c r="F53" s="108" t="s">
        <v>57</v>
      </c>
      <c r="G53" s="109">
        <v>0</v>
      </c>
      <c r="H53" s="110"/>
      <c r="I53" s="111"/>
      <c r="J53" s="111"/>
      <c r="K53" s="111"/>
      <c r="L53" s="112" t="str">
        <f>$O$27</f>
        <v/>
      </c>
      <c r="M53" s="70" t="str">
        <f>IF(ISTEXT(L53),"",IF(L53=0,"Pass","Fail"))</f>
        <v/>
      </c>
      <c r="N53" s="494"/>
      <c r="O53" s="495"/>
      <c r="P53" s="22"/>
    </row>
    <row r="54" spans="1:17" x14ac:dyDescent="0.3">
      <c r="A54" s="88"/>
      <c r="F54" s="113" t="s">
        <v>58</v>
      </c>
      <c r="G54" s="114" t="s">
        <v>87</v>
      </c>
      <c r="H54" s="115"/>
      <c r="I54" s="116"/>
      <c r="J54" s="116"/>
      <c r="K54" s="116"/>
      <c r="L54" s="117" t="str">
        <f>$O$28</f>
        <v/>
      </c>
      <c r="M54" s="60" t="str">
        <f>IF(ISTEXT(L54),"",IF((AND(L54&gt;=0,L54&lt;=5)),"Pass","Fail"))</f>
        <v/>
      </c>
      <c r="N54" s="494"/>
      <c r="O54" s="495"/>
      <c r="P54" s="22"/>
    </row>
    <row r="55" spans="1:17" x14ac:dyDescent="0.3">
      <c r="A55" s="89"/>
      <c r="B55" s="89"/>
      <c r="C55" s="118"/>
      <c r="F55" s="113" t="s">
        <v>59</v>
      </c>
      <c r="G55" s="114" t="s">
        <v>88</v>
      </c>
      <c r="H55" s="115"/>
      <c r="I55" s="116"/>
      <c r="J55" s="116"/>
      <c r="K55" s="116"/>
      <c r="L55" s="117" t="str">
        <f>$O$29</f>
        <v/>
      </c>
      <c r="M55" s="60" t="str">
        <f>IF(ISTEXT(L55),"",IF((AND(L55&gt;=0,L55&lt;=16)),"Pass","Fail"))</f>
        <v/>
      </c>
      <c r="N55" s="494"/>
      <c r="O55" s="495"/>
      <c r="P55" s="22"/>
    </row>
    <row r="56" spans="1:17" x14ac:dyDescent="0.3">
      <c r="A56" s="118"/>
      <c r="B56" s="89"/>
      <c r="C56" s="118"/>
      <c r="F56" s="113" t="s">
        <v>60</v>
      </c>
      <c r="G56" s="114" t="s">
        <v>89</v>
      </c>
      <c r="H56" s="115"/>
      <c r="I56" s="116"/>
      <c r="J56" s="116"/>
      <c r="K56" s="116"/>
      <c r="L56" s="117" t="str">
        <f>$O$30</f>
        <v/>
      </c>
      <c r="M56" s="60" t="str">
        <f>IF(ISTEXT(L56),"",IF((AND(L56&gt;=0,L56&lt;=20)),"Pass","Fail"))</f>
        <v/>
      </c>
      <c r="N56" s="494"/>
      <c r="O56" s="495"/>
      <c r="P56" s="22"/>
    </row>
    <row r="57" spans="1:17" x14ac:dyDescent="0.3">
      <c r="F57" s="113" t="s">
        <v>61</v>
      </c>
      <c r="G57" s="114" t="s">
        <v>90</v>
      </c>
      <c r="H57" s="115"/>
      <c r="I57" s="116"/>
      <c r="J57" s="116"/>
      <c r="K57" s="116"/>
      <c r="L57" s="117" t="str">
        <f>$O$31</f>
        <v/>
      </c>
      <c r="M57" s="60" t="str">
        <f>IF(ISTEXT(L57),"",IF((AND(L57&gt;=4,L57&lt;=20)),"Pass","Fail"))</f>
        <v/>
      </c>
      <c r="N57" s="494"/>
      <c r="O57" s="495"/>
      <c r="P57" s="22"/>
    </row>
    <row r="58" spans="1:17" x14ac:dyDescent="0.3">
      <c r="F58" s="113" t="s">
        <v>62</v>
      </c>
      <c r="G58" s="114" t="s">
        <v>90</v>
      </c>
      <c r="H58" s="115"/>
      <c r="I58" s="116"/>
      <c r="J58" s="116"/>
      <c r="K58" s="116"/>
      <c r="L58" s="117" t="str">
        <f>$O$32</f>
        <v/>
      </c>
      <c r="M58" s="60" t="str">
        <f>IF(ISTEXT(L58),"",IF((AND(L58&gt;=4,L58&lt;=20)),"Pass","Fail"))</f>
        <v/>
      </c>
      <c r="N58" s="494"/>
      <c r="O58" s="495"/>
      <c r="P58" s="22"/>
    </row>
    <row r="59" spans="1:17" x14ac:dyDescent="0.3">
      <c r="F59" s="113" t="s">
        <v>63</v>
      </c>
      <c r="G59" s="114" t="s">
        <v>90</v>
      </c>
      <c r="H59" s="115"/>
      <c r="I59" s="116"/>
      <c r="J59" s="116"/>
      <c r="K59" s="116"/>
      <c r="L59" s="117" t="str">
        <f>$O$33</f>
        <v/>
      </c>
      <c r="M59" s="60" t="str">
        <f>IF(ISTEXT(L59),"",IF((AND(L59&gt;=4,L59&lt;=20)),"Pass","Fail"))</f>
        <v/>
      </c>
      <c r="N59" s="494"/>
      <c r="O59" s="495"/>
      <c r="P59" s="22"/>
    </row>
    <row r="60" spans="1:17" x14ac:dyDescent="0.3">
      <c r="F60" s="113" t="s">
        <v>64</v>
      </c>
      <c r="G60" s="114" t="s">
        <v>91</v>
      </c>
      <c r="H60" s="115"/>
      <c r="I60" s="116"/>
      <c r="J60" s="116"/>
      <c r="K60" s="116"/>
      <c r="L60" s="117" t="str">
        <f>$O$34</f>
        <v/>
      </c>
      <c r="M60" s="60" t="str">
        <f>IF(ISTEXT(L60),"",IF((AND(L60&gt;=0,L60&lt;=12)),"Pass","Fail"))</f>
        <v/>
      </c>
      <c r="N60" s="494"/>
      <c r="O60" s="495"/>
      <c r="P60" s="22"/>
    </row>
    <row r="61" spans="1:17" x14ac:dyDescent="0.3">
      <c r="F61" s="113" t="s">
        <v>65</v>
      </c>
      <c r="G61" s="114" t="s">
        <v>91</v>
      </c>
      <c r="H61" s="115"/>
      <c r="I61" s="116"/>
      <c r="J61" s="116"/>
      <c r="K61" s="116"/>
      <c r="L61" s="117" t="str">
        <f>$O$35</f>
        <v/>
      </c>
      <c r="M61" s="60" t="str">
        <f>IF(ISTEXT(L61),"",IF((AND(L61&gt;=0,L61&lt;=12)),"Pass","Fail"))</f>
        <v/>
      </c>
      <c r="N61" s="494"/>
      <c r="O61" s="495"/>
      <c r="P61" s="22"/>
    </row>
    <row r="62" spans="1:17" x14ac:dyDescent="0.3">
      <c r="F62" s="113" t="s">
        <v>66</v>
      </c>
      <c r="G62" s="114" t="s">
        <v>90</v>
      </c>
      <c r="H62" s="115"/>
      <c r="I62" s="116"/>
      <c r="J62" s="116"/>
      <c r="K62" s="116"/>
      <c r="L62" s="117" t="str">
        <f>$O$36</f>
        <v/>
      </c>
      <c r="M62" s="60" t="str">
        <f>IF(ISTEXT(L62),"",IF((AND(L62&gt;=4,L62&lt;=20)),"Pass","Fail"))</f>
        <v/>
      </c>
      <c r="N62" s="494"/>
      <c r="O62" s="495"/>
      <c r="P62" s="22"/>
    </row>
    <row r="63" spans="1:17" x14ac:dyDescent="0.3">
      <c r="F63" s="113" t="s">
        <v>67</v>
      </c>
      <c r="G63" s="114" t="s">
        <v>90</v>
      </c>
      <c r="H63" s="115"/>
      <c r="I63" s="116"/>
      <c r="J63" s="116"/>
      <c r="K63" s="116"/>
      <c r="L63" s="117" t="str">
        <f>$O$37</f>
        <v/>
      </c>
      <c r="M63" s="60" t="str">
        <f>IF(ISTEXT(L63),"",IF((AND(L63&gt;=4,L63&lt;=20)),"Pass","Fail"))</f>
        <v/>
      </c>
      <c r="N63" s="494"/>
      <c r="O63" s="495"/>
      <c r="P63" s="22"/>
    </row>
    <row r="64" spans="1:17" x14ac:dyDescent="0.3">
      <c r="F64" s="113" t="s">
        <v>68</v>
      </c>
      <c r="G64" s="114" t="s">
        <v>92</v>
      </c>
      <c r="H64" s="115"/>
      <c r="I64" s="116"/>
      <c r="J64" s="116"/>
      <c r="K64" s="116"/>
      <c r="L64" s="117" t="str">
        <f>$O$38</f>
        <v/>
      </c>
      <c r="M64" s="60" t="str">
        <f>IF(ISTEXT(L64),"",IF((AND(L64&gt;=0,L64&lt;=10)),"Pass","Fail"))</f>
        <v/>
      </c>
      <c r="N64" s="494"/>
      <c r="O64" s="495"/>
      <c r="P64" s="22"/>
    </row>
    <row r="65" spans="2:16" ht="16.2" thickBot="1" x14ac:dyDescent="0.35">
      <c r="F65" s="119" t="s">
        <v>69</v>
      </c>
      <c r="G65" s="120" t="s">
        <v>303</v>
      </c>
      <c r="H65" s="121"/>
      <c r="I65" s="122"/>
      <c r="J65" s="122"/>
      <c r="K65" s="122"/>
      <c r="L65" s="123" t="str">
        <f>$O$39</f>
        <v/>
      </c>
      <c r="M65" s="59" t="str">
        <f>IF(ISTEXT(L65),"",IF((AND(L65&gt;=0,L65&lt;=2.3)),"Pass","Fail"))</f>
        <v/>
      </c>
      <c r="N65" s="494"/>
      <c r="O65" s="495"/>
      <c r="P65" s="22"/>
    </row>
    <row r="77" spans="2:16" x14ac:dyDescent="0.3">
      <c r="B77" s="88"/>
      <c r="C77" s="124"/>
    </row>
    <row r="78" spans="2:16" x14ac:dyDescent="0.3">
      <c r="C78" s="124"/>
    </row>
    <row r="116" spans="4:6" x14ac:dyDescent="0.3">
      <c r="E116" s="125"/>
      <c r="F116" s="126"/>
    </row>
    <row r="117" spans="4:6" x14ac:dyDescent="0.3">
      <c r="E117" s="125"/>
      <c r="F117" s="126"/>
    </row>
    <row r="118" spans="4:6" x14ac:dyDescent="0.3">
      <c r="E118" s="125"/>
      <c r="F118" s="126"/>
    </row>
    <row r="119" spans="4:6" x14ac:dyDescent="0.3">
      <c r="E119" s="125"/>
      <c r="F119" s="126"/>
    </row>
    <row r="120" spans="4:6" x14ac:dyDescent="0.3">
      <c r="D120" s="127"/>
      <c r="E120" s="125"/>
      <c r="F120" s="126"/>
    </row>
    <row r="121" spans="4:6" x14ac:dyDescent="0.3">
      <c r="D121" s="127"/>
      <c r="E121" s="125"/>
      <c r="F121" s="126"/>
    </row>
    <row r="122" spans="4:6" x14ac:dyDescent="0.3">
      <c r="D122" s="127"/>
      <c r="E122" s="125"/>
      <c r="F122" s="126"/>
    </row>
    <row r="123" spans="4:6" x14ac:dyDescent="0.3">
      <c r="D123" s="127"/>
    </row>
    <row r="124" spans="4:6" x14ac:dyDescent="0.3">
      <c r="D124" s="127"/>
    </row>
    <row r="125" spans="4:6" x14ac:dyDescent="0.3">
      <c r="D125" s="127"/>
    </row>
    <row r="126" spans="4:6" x14ac:dyDescent="0.3">
      <c r="D126" s="127"/>
    </row>
    <row r="131" spans="2:5" x14ac:dyDescent="0.3">
      <c r="B131" s="128"/>
      <c r="C131" s="129"/>
      <c r="D131" s="129"/>
    </row>
    <row r="132" spans="2:5" x14ac:dyDescent="0.3">
      <c r="B132" s="128"/>
      <c r="C132" s="129"/>
      <c r="D132" s="129"/>
    </row>
    <row r="133" spans="2:5" x14ac:dyDescent="0.3">
      <c r="B133" s="128"/>
      <c r="C133" s="129"/>
      <c r="D133" s="129"/>
    </row>
    <row r="134" spans="2:5" x14ac:dyDescent="0.3">
      <c r="B134" s="128"/>
      <c r="C134" s="129"/>
      <c r="D134" s="129"/>
    </row>
    <row r="135" spans="2:5" x14ac:dyDescent="0.3">
      <c r="B135" s="128"/>
      <c r="C135" s="129"/>
      <c r="D135" s="129"/>
    </row>
    <row r="136" spans="2:5" x14ac:dyDescent="0.3">
      <c r="B136" s="128"/>
      <c r="C136" s="129"/>
      <c r="D136" s="129"/>
    </row>
    <row r="137" spans="2:5" x14ac:dyDescent="0.3">
      <c r="B137" s="128"/>
      <c r="C137" s="130"/>
      <c r="D137" s="124"/>
    </row>
    <row r="138" spans="2:5" x14ac:dyDescent="0.3">
      <c r="C138" s="130"/>
      <c r="D138" s="124"/>
    </row>
    <row r="139" spans="2:5" x14ac:dyDescent="0.3">
      <c r="C139" s="130"/>
      <c r="D139" s="124"/>
    </row>
    <row r="140" spans="2:5" x14ac:dyDescent="0.3">
      <c r="C140" s="130"/>
      <c r="D140" s="124"/>
    </row>
    <row r="141" spans="2:5" x14ac:dyDescent="0.3">
      <c r="C141" s="130"/>
      <c r="D141" s="124"/>
    </row>
    <row r="142" spans="2:5" x14ac:dyDescent="0.3">
      <c r="C142" s="130"/>
      <c r="D142" s="124"/>
    </row>
    <row r="143" spans="2:5" x14ac:dyDescent="0.3">
      <c r="C143" s="130"/>
      <c r="D143" s="124"/>
    </row>
    <row r="144" spans="2:5" x14ac:dyDescent="0.3">
      <c r="C144" s="130"/>
      <c r="D144" s="124"/>
      <c r="E144" s="131"/>
    </row>
    <row r="145" spans="3:20" x14ac:dyDescent="0.3">
      <c r="C145" s="130"/>
      <c r="D145" s="124"/>
      <c r="E145" s="131"/>
      <c r="S145" s="131"/>
      <c r="T145" s="88"/>
    </row>
    <row r="146" spans="3:20" x14ac:dyDescent="0.3">
      <c r="C146" s="130"/>
      <c r="D146" s="124"/>
      <c r="E146" s="131"/>
      <c r="S146" s="131"/>
      <c r="T146" s="88"/>
    </row>
    <row r="147" spans="3:20" x14ac:dyDescent="0.3">
      <c r="E147" s="131"/>
      <c r="S147" s="131"/>
      <c r="T147" s="88"/>
    </row>
    <row r="148" spans="3:20" x14ac:dyDescent="0.3">
      <c r="E148" s="131"/>
      <c r="S148" s="131"/>
      <c r="T148" s="88"/>
    </row>
    <row r="149" spans="3:20" x14ac:dyDescent="0.3">
      <c r="D149" s="88"/>
      <c r="E149" s="131"/>
      <c r="S149" s="131"/>
      <c r="T149" s="88"/>
    </row>
    <row r="150" spans="3:20" x14ac:dyDescent="0.3">
      <c r="D150" s="88"/>
      <c r="E150" s="131"/>
      <c r="S150" s="131"/>
      <c r="T150" s="88"/>
    </row>
    <row r="151" spans="3:20" x14ac:dyDescent="0.3">
      <c r="D151" s="88"/>
      <c r="S151" s="131"/>
      <c r="T151" s="88"/>
    </row>
    <row r="152" spans="3:20" x14ac:dyDescent="0.3">
      <c r="D152" s="88"/>
    </row>
    <row r="153" spans="3:20" x14ac:dyDescent="0.3">
      <c r="D153" s="88"/>
    </row>
    <row r="154" spans="3:20" x14ac:dyDescent="0.3">
      <c r="D154" s="88"/>
      <c r="R154" s="132"/>
      <c r="S154" s="132"/>
    </row>
    <row r="155" spans="3:20" x14ac:dyDescent="0.3">
      <c r="D155" s="88"/>
      <c r="R155" s="133"/>
      <c r="S155" s="133"/>
    </row>
    <row r="156" spans="3:20" x14ac:dyDescent="0.3">
      <c r="D156" s="88"/>
    </row>
    <row r="157" spans="3:20" x14ac:dyDescent="0.3">
      <c r="D157" s="88"/>
    </row>
    <row r="158" spans="3:20" x14ac:dyDescent="0.3">
      <c r="D158" s="88"/>
    </row>
    <row r="159" spans="3:20" x14ac:dyDescent="0.3">
      <c r="D159" s="88"/>
    </row>
    <row r="160" spans="3:20" x14ac:dyDescent="0.3">
      <c r="D160" s="88"/>
    </row>
    <row r="161" spans="4:5" x14ac:dyDescent="0.3">
      <c r="D161" s="88"/>
    </row>
    <row r="175" spans="4:5" x14ac:dyDescent="0.3">
      <c r="E175" s="124"/>
    </row>
    <row r="176" spans="4:5" x14ac:dyDescent="0.3">
      <c r="E176" s="124"/>
    </row>
    <row r="177" spans="5:5" x14ac:dyDescent="0.3">
      <c r="E177" s="124"/>
    </row>
    <row r="178" spans="5:5" x14ac:dyDescent="0.3">
      <c r="E178" s="124"/>
    </row>
    <row r="179" spans="5:5" x14ac:dyDescent="0.3">
      <c r="E179" s="124"/>
    </row>
    <row r="180" spans="5:5" x14ac:dyDescent="0.3">
      <c r="E180" s="124"/>
    </row>
    <row r="181" spans="5:5" x14ac:dyDescent="0.3">
      <c r="E181" s="124"/>
    </row>
    <row r="182" spans="5:5" x14ac:dyDescent="0.3">
      <c r="E182" s="124"/>
    </row>
    <row r="183" spans="5:5" x14ac:dyDescent="0.3">
      <c r="E183" s="124"/>
    </row>
    <row r="184" spans="5:5" x14ac:dyDescent="0.3">
      <c r="E184" s="124"/>
    </row>
    <row r="185" spans="5:5" x14ac:dyDescent="0.3">
      <c r="E185" s="124"/>
    </row>
  </sheetData>
  <sheetProtection selectLockedCells="1"/>
  <mergeCells count="54">
    <mergeCell ref="N7:O7"/>
    <mergeCell ref="A1:G1"/>
    <mergeCell ref="A2:M2"/>
    <mergeCell ref="A3:B3"/>
    <mergeCell ref="C3:D3"/>
    <mergeCell ref="E3:G3"/>
    <mergeCell ref="L3:M3"/>
    <mergeCell ref="A4:B4"/>
    <mergeCell ref="C4:D4"/>
    <mergeCell ref="E4:H4"/>
    <mergeCell ref="L4:M4"/>
    <mergeCell ref="A5:D5"/>
    <mergeCell ref="E5:M5"/>
    <mergeCell ref="B13:C13"/>
    <mergeCell ref="D13:E13"/>
    <mergeCell ref="A6:D6"/>
    <mergeCell ref="E6:M6"/>
    <mergeCell ref="A7:D7"/>
    <mergeCell ref="E7:M7"/>
    <mergeCell ref="A10:M10"/>
    <mergeCell ref="B11:C11"/>
    <mergeCell ref="D11:E11"/>
    <mergeCell ref="B12:C12"/>
    <mergeCell ref="D12:E12"/>
    <mergeCell ref="A8:D8"/>
    <mergeCell ref="E8:M8"/>
    <mergeCell ref="A45:L45"/>
    <mergeCell ref="B14:C14"/>
    <mergeCell ref="D14:E14"/>
    <mergeCell ref="B15:C15"/>
    <mergeCell ref="D15:E15"/>
    <mergeCell ref="B16:C16"/>
    <mergeCell ref="D16:E16"/>
    <mergeCell ref="A18:B18"/>
    <mergeCell ref="A20:P20"/>
    <mergeCell ref="A22:D22"/>
    <mergeCell ref="L22:N22"/>
    <mergeCell ref="O22:P22"/>
    <mergeCell ref="N45:O45"/>
    <mergeCell ref="E18:L18"/>
    <mergeCell ref="B46:C46"/>
    <mergeCell ref="D46:E46"/>
    <mergeCell ref="F46:G46"/>
    <mergeCell ref="B47:C47"/>
    <mergeCell ref="D47:E47"/>
    <mergeCell ref="F47:G47"/>
    <mergeCell ref="M51:M52"/>
    <mergeCell ref="B48:C48"/>
    <mergeCell ref="D48:E48"/>
    <mergeCell ref="F48:G48"/>
    <mergeCell ref="F51:F52"/>
    <mergeCell ref="G51:G52"/>
    <mergeCell ref="L51:L52"/>
    <mergeCell ref="F50:M50"/>
  </mergeCells>
  <conditionalFormatting sqref="L48">
    <cfRule type="containsText" dxfId="17" priority="9" stopIfTrue="1" operator="containsText" text="Fail">
      <formula>NOT(ISERROR(SEARCH("Fail",L48)))</formula>
    </cfRule>
    <cfRule type="containsText" dxfId="16" priority="10" operator="containsText" text="Pass">
      <formula>NOT(ISERROR(SEARCH("Pass",L48)))</formula>
    </cfRule>
  </conditionalFormatting>
  <conditionalFormatting sqref="M53:M65">
    <cfRule type="containsText" dxfId="15" priority="3" stopIfTrue="1" operator="containsText" text="Fail">
      <formula>NOT(ISERROR(SEARCH("Fail",M53)))</formula>
    </cfRule>
    <cfRule type="containsText" dxfId="14" priority="4" operator="containsText" text="Pass">
      <formula>NOT(ISERROR(SEARCH("Pass",M53)))</formula>
    </cfRule>
  </conditionalFormatting>
  <conditionalFormatting sqref="L47">
    <cfRule type="containsText" dxfId="13" priority="5" stopIfTrue="1" operator="containsText" text="Fail">
      <formula>NOT(ISERROR(SEARCH("Fail",L47)))</formula>
    </cfRule>
    <cfRule type="containsText" dxfId="12" priority="6" operator="containsText" text="Pass">
      <formula>NOT(ISERROR(SEARCH("Pass",L47)))</formula>
    </cfRule>
  </conditionalFormatting>
  <conditionalFormatting sqref="A23">
    <cfRule type="cellIs" dxfId="11" priority="1" operator="equal">
      <formula>100</formula>
    </cfRule>
    <cfRule type="cellIs" dxfId="10" priority="2" operator="notEqual">
      <formula>100</formula>
    </cfRule>
  </conditionalFormatting>
  <pageMargins left="0.7" right="0.7" top="0.75" bottom="0.75" header="0.3" footer="0.3"/>
  <pageSetup scale="54" orientation="portrait" verticalDpi="1200" r:id="rId1"/>
  <colBreaks count="1" manualBreakCount="1">
    <brk id="16" max="1048575" man="1"/>
  </colBreaks>
  <ignoredErrors>
    <ignoredError sqref="M27"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92ECE-98C3-47ED-90F6-77A86BFE0E2F}">
  <dimension ref="A1:T160"/>
  <sheetViews>
    <sheetView showGridLines="0" zoomScale="85" zoomScaleNormal="85" zoomScaleSheetLayoutView="70" workbookViewId="0">
      <selection activeCell="B12" sqref="B12"/>
    </sheetView>
  </sheetViews>
  <sheetFormatPr defaultColWidth="9.33203125" defaultRowHeight="15.6" x14ac:dyDescent="0.3"/>
  <cols>
    <col min="1" max="5" width="18.5546875" style="134" customWidth="1"/>
    <col min="6" max="6" width="10.33203125" style="134" customWidth="1"/>
    <col min="7" max="7" width="8" style="134" customWidth="1"/>
    <col min="8" max="9" width="13.6640625" style="134" customWidth="1"/>
    <col min="10" max="10" width="12.6640625" style="134" bestFit="1" customWidth="1"/>
    <col min="11" max="11" width="9.33203125" style="134" bestFit="1" customWidth="1"/>
    <col min="12" max="12" width="14" style="134" customWidth="1"/>
    <col min="13" max="13" width="11.6640625" style="134" customWidth="1"/>
    <col min="14" max="14" width="9.33203125" style="134" bestFit="1" customWidth="1"/>
    <col min="15" max="15" width="11.5546875" style="134" customWidth="1"/>
    <col min="16" max="16" width="9.33203125" style="134"/>
    <col min="17" max="18" width="9.33203125" style="134" bestFit="1" customWidth="1"/>
    <col min="19" max="16384" width="9.33203125" style="134"/>
  </cols>
  <sheetData>
    <row r="1" spans="1:20" ht="16.2" thickBot="1" x14ac:dyDescent="0.35">
      <c r="A1" s="672" t="s">
        <v>306</v>
      </c>
      <c r="B1" s="673"/>
      <c r="C1" s="673"/>
      <c r="D1" s="673"/>
      <c r="E1" s="673"/>
      <c r="F1" s="673"/>
      <c r="G1" s="674"/>
      <c r="H1" s="309" t="s">
        <v>21</v>
      </c>
      <c r="I1" s="305" t="str">
        <f>IF(ISBLANK('1 Aggregate System'!M1),"",'1 Aggregate System'!M1)</f>
        <v/>
      </c>
    </row>
    <row r="2" spans="1:20" ht="15.6" customHeight="1" x14ac:dyDescent="0.3">
      <c r="A2" s="675" t="s">
        <v>22</v>
      </c>
      <c r="B2" s="676"/>
      <c r="C2" s="676"/>
      <c r="D2" s="676"/>
      <c r="E2" s="676"/>
      <c r="F2" s="676"/>
      <c r="G2" s="676"/>
      <c r="H2" s="677"/>
      <c r="I2" s="678"/>
    </row>
    <row r="3" spans="1:20" x14ac:dyDescent="0.3">
      <c r="A3" s="679" t="s">
        <v>23</v>
      </c>
      <c r="B3" s="680"/>
      <c r="C3" s="680" t="s">
        <v>24</v>
      </c>
      <c r="D3" s="680"/>
      <c r="E3" s="681" t="s">
        <v>25</v>
      </c>
      <c r="F3" s="682"/>
      <c r="G3" s="682"/>
      <c r="H3" s="683" t="s">
        <v>26</v>
      </c>
      <c r="I3" s="684"/>
    </row>
    <row r="4" spans="1:20" x14ac:dyDescent="0.3">
      <c r="A4" s="685" t="str">
        <f>IF(ISBLANK('1 Aggregate System'!A4),"",'1 Aggregate System'!A4)</f>
        <v/>
      </c>
      <c r="B4" s="687"/>
      <c r="C4" s="688" t="str">
        <f>IF(ISBLANK('1 Aggregate System'!C4),"",'1 Aggregate System'!C4)</f>
        <v/>
      </c>
      <c r="D4" s="687"/>
      <c r="E4" s="690" t="str">
        <f>IF(ISBLANK('1 Aggregate System'!E4),"",'1 Aggregate System'!E4)</f>
        <v/>
      </c>
      <c r="F4" s="691"/>
      <c r="G4" s="691"/>
      <c r="H4" s="690" t="str">
        <f>IF(ISBLANK('1 Aggregate System'!L4),"",'1 Aggregate System'!L4)</f>
        <v/>
      </c>
      <c r="I4" s="692"/>
      <c r="O4" s="134" t="s">
        <v>6</v>
      </c>
    </row>
    <row r="5" spans="1:20" x14ac:dyDescent="0.3">
      <c r="A5" s="662" t="s">
        <v>27</v>
      </c>
      <c r="B5" s="663"/>
      <c r="C5" s="663"/>
      <c r="D5" s="663"/>
      <c r="E5" s="664" t="s">
        <v>28</v>
      </c>
      <c r="F5" s="665"/>
      <c r="G5" s="665"/>
      <c r="H5" s="665"/>
      <c r="I5" s="666"/>
    </row>
    <row r="6" spans="1:20" x14ac:dyDescent="0.3">
      <c r="A6" s="685" t="str">
        <f>IF(ISBLANK('1 Aggregate System'!A6),"",'1 Aggregate System'!A6)</f>
        <v/>
      </c>
      <c r="B6" s="686"/>
      <c r="C6" s="686"/>
      <c r="D6" s="687"/>
      <c r="E6" s="688" t="str">
        <f>IF(ISBLANK('1 Aggregate System'!E6),"",'1 Aggregate System'!E6)</f>
        <v/>
      </c>
      <c r="F6" s="686"/>
      <c r="G6" s="686"/>
      <c r="H6" s="686"/>
      <c r="I6" s="689"/>
    </row>
    <row r="7" spans="1:20" x14ac:dyDescent="0.3">
      <c r="A7" s="662" t="s">
        <v>29</v>
      </c>
      <c r="B7" s="663"/>
      <c r="C7" s="663"/>
      <c r="D7" s="663"/>
      <c r="E7" s="664" t="s">
        <v>30</v>
      </c>
      <c r="F7" s="665"/>
      <c r="G7" s="665"/>
      <c r="H7" s="665"/>
      <c r="I7" s="666"/>
    </row>
    <row r="8" spans="1:20" ht="16.2" thickBot="1" x14ac:dyDescent="0.35">
      <c r="A8" s="667" t="str">
        <f>IF(ISBLANK('1 Aggregate System'!A8),"",'1 Aggregate System'!A8)</f>
        <v/>
      </c>
      <c r="B8" s="668"/>
      <c r="C8" s="668"/>
      <c r="D8" s="668"/>
      <c r="E8" s="669" t="str">
        <f>IF(ISBLANK('1 Aggregate System'!E8),"",'1 Aggregate System'!E8)</f>
        <v/>
      </c>
      <c r="F8" s="670"/>
      <c r="G8" s="670"/>
      <c r="H8" s="670"/>
      <c r="I8" s="671"/>
    </row>
    <row r="9" spans="1:20" s="136" customFormat="1" ht="15.6" customHeight="1" thickBot="1" x14ac:dyDescent="0.35">
      <c r="A9" s="299"/>
      <c r="B9" s="299"/>
      <c r="C9" s="299"/>
      <c r="D9" s="299"/>
      <c r="E9" s="299"/>
      <c r="F9" s="135"/>
      <c r="G9" s="299"/>
      <c r="H9" s="299"/>
      <c r="I9" s="299"/>
    </row>
    <row r="10" spans="1:20" ht="18" thickBot="1" x14ac:dyDescent="0.35">
      <c r="A10" s="574" t="s">
        <v>93</v>
      </c>
      <c r="B10" s="575"/>
      <c r="C10" s="575"/>
      <c r="D10" s="575"/>
      <c r="E10" s="576"/>
      <c r="F10" s="137"/>
      <c r="G10" s="138"/>
      <c r="H10" s="138"/>
      <c r="I10" s="138"/>
      <c r="J10" s="138"/>
      <c r="K10" s="138"/>
      <c r="L10" s="138"/>
      <c r="M10" s="138"/>
      <c r="N10" s="138"/>
      <c r="O10" s="138"/>
      <c r="P10" s="139"/>
    </row>
    <row r="11" spans="1:20" s="143" customFormat="1" ht="40.5" customHeight="1" thickBot="1" x14ac:dyDescent="0.35">
      <c r="A11" s="140"/>
      <c r="B11" s="141" t="s">
        <v>94</v>
      </c>
      <c r="C11" s="141" t="s">
        <v>95</v>
      </c>
      <c r="D11" s="188" t="s">
        <v>96</v>
      </c>
      <c r="E11" s="142" t="s">
        <v>97</v>
      </c>
      <c r="F11" s="658" t="str">
        <f>'1 Aggregate System'!N7</f>
        <v>WisDOT Version</v>
      </c>
      <c r="G11" s="659"/>
      <c r="H11" s="144"/>
      <c r="I11" s="144"/>
      <c r="J11" s="144"/>
      <c r="K11" s="144"/>
      <c r="L11" s="144"/>
      <c r="M11" s="144"/>
      <c r="N11" s="144"/>
      <c r="O11" s="145"/>
    </row>
    <row r="12" spans="1:20" ht="15.6" customHeight="1" x14ac:dyDescent="0.3">
      <c r="A12" s="146" t="s">
        <v>98</v>
      </c>
      <c r="B12" s="147"/>
      <c r="C12" s="147"/>
      <c r="D12" s="148"/>
      <c r="E12" s="472">
        <v>3.15</v>
      </c>
      <c r="F12" s="479">
        <f>'1 Aggregate System'!P7</f>
        <v>4.5</v>
      </c>
      <c r="I12" s="138"/>
      <c r="J12" s="138"/>
      <c r="K12" s="138"/>
      <c r="L12" s="138"/>
      <c r="M12" s="138"/>
      <c r="O12" s="139"/>
      <c r="P12" s="139"/>
    </row>
    <row r="13" spans="1:20" ht="15.6" customHeight="1" x14ac:dyDescent="0.3">
      <c r="A13" s="151" t="s">
        <v>99</v>
      </c>
      <c r="B13" s="14"/>
      <c r="C13" s="14"/>
      <c r="D13" s="426"/>
      <c r="E13" s="473">
        <v>1</v>
      </c>
      <c r="F13" s="480" t="str">
        <f>'1 Aggregate System'!O8</f>
        <v>3.2.2022</v>
      </c>
      <c r="J13" s="138"/>
      <c r="K13" s="138"/>
      <c r="L13" s="138"/>
      <c r="M13" s="138"/>
      <c r="O13" s="139"/>
      <c r="P13" s="139"/>
    </row>
    <row r="14" spans="1:20" ht="15.6" customHeight="1" thickBot="1" x14ac:dyDescent="0.35">
      <c r="A14" s="153" t="s">
        <v>100</v>
      </c>
      <c r="B14" s="16"/>
      <c r="C14" s="16"/>
      <c r="D14" s="319"/>
      <c r="E14" s="474">
        <v>1</v>
      </c>
      <c r="J14" s="138"/>
      <c r="K14" s="138"/>
      <c r="L14" s="138"/>
      <c r="M14" s="138"/>
      <c r="O14" s="139"/>
      <c r="P14" s="139"/>
    </row>
    <row r="15" spans="1:20" s="136" customFormat="1" ht="15.6" customHeight="1" thickBot="1" x14ac:dyDescent="0.35">
      <c r="A15" s="299"/>
      <c r="B15" s="154"/>
      <c r="C15" s="154"/>
      <c r="D15" s="155"/>
      <c r="E15" s="155"/>
      <c r="F15" s="156"/>
      <c r="G15" s="157"/>
      <c r="H15" s="158"/>
      <c r="K15" s="159"/>
      <c r="L15" s="160"/>
      <c r="M15" s="160"/>
      <c r="N15" s="160"/>
      <c r="O15" s="160"/>
      <c r="P15" s="160"/>
      <c r="R15" s="161"/>
      <c r="S15" s="161"/>
    </row>
    <row r="16" spans="1:20" s="164" customFormat="1" ht="15.6" customHeight="1" thickBot="1" x14ac:dyDescent="0.35">
      <c r="A16" s="656" t="s">
        <v>36</v>
      </c>
      <c r="B16" s="657"/>
      <c r="C16" s="162" t="str">
        <f>IF(ISNUMBER('3 Mix Design'!B25),'3 Mix Design'!B25,"")</f>
        <v/>
      </c>
      <c r="D16" s="163"/>
      <c r="E16" s="155"/>
      <c r="F16" s="155"/>
      <c r="G16" s="156"/>
      <c r="H16" s="157"/>
      <c r="I16" s="158"/>
      <c r="L16" s="165"/>
      <c r="M16" s="155"/>
      <c r="N16" s="155"/>
      <c r="O16" s="155"/>
      <c r="P16" s="155"/>
      <c r="Q16" s="155"/>
      <c r="S16" s="166"/>
      <c r="T16" s="166"/>
    </row>
    <row r="17" spans="1:20" ht="16.2" thickBot="1" x14ac:dyDescent="0.35">
      <c r="A17" s="167"/>
      <c r="C17" s="168"/>
      <c r="D17" s="168"/>
      <c r="E17" s="138"/>
      <c r="F17" s="138"/>
      <c r="L17" s="150"/>
      <c r="M17" s="138"/>
      <c r="N17" s="138"/>
      <c r="O17" s="138"/>
      <c r="P17" s="138"/>
      <c r="Q17" s="138"/>
      <c r="S17" s="139"/>
      <c r="T17" s="139"/>
    </row>
    <row r="18" spans="1:20" ht="16.2" thickBot="1" x14ac:dyDescent="0.35">
      <c r="A18" s="574" t="s">
        <v>101</v>
      </c>
      <c r="B18" s="575"/>
      <c r="C18" s="576"/>
      <c r="D18" s="168"/>
      <c r="E18" s="138"/>
      <c r="F18" s="138"/>
      <c r="L18" s="150"/>
      <c r="M18" s="138"/>
      <c r="N18" s="138"/>
      <c r="O18" s="138"/>
      <c r="P18" s="138"/>
      <c r="Q18" s="138"/>
      <c r="S18" s="139"/>
      <c r="T18" s="139"/>
    </row>
    <row r="19" spans="1:20" x14ac:dyDescent="0.3">
      <c r="A19" s="169" t="s">
        <v>305</v>
      </c>
      <c r="B19" s="170"/>
      <c r="C19" s="171"/>
      <c r="D19" s="168"/>
      <c r="E19" s="138"/>
      <c r="F19" s="138"/>
      <c r="G19" s="172"/>
      <c r="H19" s="173"/>
      <c r="I19" s="174"/>
      <c r="J19" s="175"/>
      <c r="L19" s="150"/>
      <c r="M19" s="138"/>
      <c r="N19" s="138"/>
      <c r="O19" s="138"/>
      <c r="P19" s="138"/>
      <c r="Q19" s="138"/>
      <c r="S19" s="139"/>
      <c r="T19" s="139"/>
    </row>
    <row r="20" spans="1:20" x14ac:dyDescent="0.3">
      <c r="A20" s="176" t="s">
        <v>304</v>
      </c>
      <c r="B20" s="177"/>
      <c r="C20" s="178" t="s">
        <v>56</v>
      </c>
      <c r="D20" s="168"/>
      <c r="E20" s="138"/>
      <c r="F20" s="138"/>
      <c r="G20" s="172"/>
      <c r="H20" s="173"/>
      <c r="I20" s="174"/>
      <c r="J20" s="175"/>
      <c r="L20" s="150"/>
      <c r="M20" s="138"/>
      <c r="N20" s="138"/>
      <c r="O20" s="138"/>
      <c r="P20" s="138"/>
      <c r="Q20" s="138"/>
      <c r="S20" s="139"/>
      <c r="T20" s="139"/>
    </row>
    <row r="21" spans="1:20" x14ac:dyDescent="0.3">
      <c r="A21" s="176" t="s">
        <v>292</v>
      </c>
      <c r="B21" s="422"/>
      <c r="C21" s="418" t="s">
        <v>293</v>
      </c>
      <c r="D21" s="168"/>
      <c r="E21" s="138"/>
      <c r="F21" s="138"/>
      <c r="G21" s="172"/>
      <c r="H21" s="173"/>
      <c r="I21" s="174"/>
      <c r="J21" s="175"/>
      <c r="L21" s="150"/>
      <c r="M21" s="138"/>
      <c r="N21" s="138"/>
      <c r="O21" s="138"/>
      <c r="P21" s="138"/>
      <c r="Q21" s="138"/>
      <c r="S21" s="139"/>
      <c r="T21" s="139"/>
    </row>
    <row r="22" spans="1:20" x14ac:dyDescent="0.3">
      <c r="A22" s="176" t="s">
        <v>99</v>
      </c>
      <c r="B22" s="179"/>
      <c r="C22" s="178" t="s">
        <v>56</v>
      </c>
      <c r="D22" s="168"/>
      <c r="E22" s="138"/>
      <c r="F22" s="138"/>
      <c r="G22" s="172"/>
      <c r="H22" s="173"/>
      <c r="I22" s="174"/>
      <c r="J22" s="175"/>
      <c r="L22" s="150"/>
      <c r="M22" s="138"/>
      <c r="N22" s="138"/>
      <c r="O22" s="138"/>
      <c r="P22" s="138"/>
      <c r="Q22" s="138"/>
      <c r="S22" s="139"/>
      <c r="T22" s="139"/>
    </row>
    <row r="23" spans="1:20" x14ac:dyDescent="0.3">
      <c r="A23" s="176" t="s">
        <v>104</v>
      </c>
      <c r="B23" s="179"/>
      <c r="C23" s="178" t="s">
        <v>56</v>
      </c>
      <c r="D23" s="168"/>
      <c r="E23" s="138"/>
      <c r="F23" s="138"/>
      <c r="G23" s="172"/>
      <c r="H23" s="173"/>
      <c r="I23" s="174"/>
      <c r="J23" s="175"/>
      <c r="L23" s="150"/>
      <c r="M23" s="138"/>
      <c r="N23" s="138"/>
      <c r="O23" s="138"/>
      <c r="P23" s="138"/>
      <c r="Q23" s="138"/>
      <c r="S23" s="139"/>
      <c r="T23" s="139"/>
    </row>
    <row r="24" spans="1:20" x14ac:dyDescent="0.3">
      <c r="A24" s="419" t="s">
        <v>294</v>
      </c>
      <c r="B24" s="420"/>
      <c r="C24" s="421" t="s">
        <v>301</v>
      </c>
      <c r="D24" s="168"/>
      <c r="E24" s="138"/>
      <c r="F24" s="138"/>
      <c r="G24" s="172"/>
      <c r="H24" s="173"/>
      <c r="I24" s="174"/>
      <c r="J24" s="175"/>
      <c r="L24" s="150"/>
      <c r="M24" s="138"/>
      <c r="N24" s="138"/>
      <c r="O24" s="138"/>
      <c r="P24" s="138"/>
      <c r="Q24" s="138"/>
      <c r="S24" s="139"/>
      <c r="T24" s="139"/>
    </row>
    <row r="25" spans="1:20" ht="16.2" thickBot="1" x14ac:dyDescent="0.35">
      <c r="A25" s="180" t="s">
        <v>243</v>
      </c>
      <c r="B25" s="181"/>
      <c r="C25" s="182" t="s">
        <v>56</v>
      </c>
      <c r="D25" s="330" t="str">
        <f>IF(ISERROR('Unit Wt_Voids in Agg (optional)'!M22),"", 'Unit Wt_Voids in Agg (optional)'!M22)</f>
        <v/>
      </c>
      <c r="E25" s="329" t="s">
        <v>250</v>
      </c>
      <c r="F25" s="138"/>
      <c r="G25" s="172"/>
      <c r="H25" s="173"/>
      <c r="I25" s="174"/>
      <c r="J25" s="175"/>
      <c r="L25" s="150"/>
      <c r="M25" s="138"/>
      <c r="N25" s="138"/>
      <c r="O25" s="138"/>
      <c r="P25" s="138"/>
      <c r="Q25" s="138"/>
      <c r="S25" s="139"/>
      <c r="T25" s="139"/>
    </row>
    <row r="26" spans="1:20" ht="16.2" hidden="1" thickBot="1" x14ac:dyDescent="0.35">
      <c r="A26" s="183" t="s">
        <v>105</v>
      </c>
      <c r="B26" s="358">
        <v>125</v>
      </c>
      <c r="C26" s="184" t="s">
        <v>56</v>
      </c>
      <c r="D26" s="168"/>
      <c r="E26" s="138"/>
      <c r="F26" s="138"/>
    </row>
    <row r="27" spans="1:20" ht="16.2" thickBot="1" x14ac:dyDescent="0.35">
      <c r="A27" s="167"/>
      <c r="B27" s="168"/>
      <c r="C27" s="168"/>
      <c r="D27" s="168"/>
      <c r="E27" s="138"/>
      <c r="F27" s="138"/>
      <c r="G27" s="172"/>
      <c r="H27" s="185"/>
      <c r="I27" s="174"/>
    </row>
    <row r="28" spans="1:20" ht="18" thickBot="1" x14ac:dyDescent="0.35">
      <c r="A28" s="574" t="s">
        <v>31</v>
      </c>
      <c r="B28" s="575"/>
      <c r="C28" s="575"/>
      <c r="D28" s="575"/>
      <c r="E28" s="576"/>
      <c r="F28" s="186"/>
      <c r="G28" s="186"/>
      <c r="H28" s="186"/>
      <c r="I28" s="186"/>
    </row>
    <row r="29" spans="1:20" s="143" customFormat="1" ht="16.2" thickBot="1" x14ac:dyDescent="0.35">
      <c r="A29" s="187"/>
      <c r="B29" s="141" t="s">
        <v>247</v>
      </c>
      <c r="C29" s="141" t="s">
        <v>33</v>
      </c>
      <c r="D29" s="188" t="s">
        <v>34</v>
      </c>
      <c r="E29" s="141" t="s">
        <v>35</v>
      </c>
      <c r="M29" s="189"/>
    </row>
    <row r="30" spans="1:20" ht="15.6" customHeight="1" x14ac:dyDescent="0.3">
      <c r="A30" s="313" t="str">
        <f>IF(ISTEXT('1 Aggregate System'!A12),'1 Aggregate System'!A12,"")</f>
        <v>Coarse A</v>
      </c>
      <c r="B30" s="15" t="str">
        <f>IF(ISTEXT('1 Aggregate System'!B12),'1 Aggregate System'!B12,"")</f>
        <v/>
      </c>
      <c r="C30" s="190" t="str">
        <f>IF(ISTEXT('1 Aggregate System'!D12),'1 Aggregate System'!D12,"")</f>
        <v/>
      </c>
      <c r="D30" s="191" t="str">
        <f>IF(ISNUMBER('1 Aggregate System'!G12),'1 Aggregate System'!G12,"")</f>
        <v/>
      </c>
      <c r="E30" s="315">
        <f>IF(ISNUMBER('1 Aggregate System'!M12),'1 Aggregate System'!M12,"")</f>
        <v>0</v>
      </c>
      <c r="L30" s="192"/>
      <c r="M30" s="192"/>
      <c r="N30" s="192"/>
    </row>
    <row r="31" spans="1:20" ht="15.6" customHeight="1" x14ac:dyDescent="0.3">
      <c r="A31" s="313" t="str">
        <f>IF(ISTEXT('1 Aggregate System'!A13),'1 Aggregate System'!A13,"")</f>
        <v>Fine</v>
      </c>
      <c r="B31" s="15" t="str">
        <f>IF(ISTEXT('1 Aggregate System'!B13),'1 Aggregate System'!B13,"")</f>
        <v/>
      </c>
      <c r="C31" s="190" t="str">
        <f>IF(ISTEXT('1 Aggregate System'!D13),'1 Aggregate System'!D13,"")</f>
        <v/>
      </c>
      <c r="D31" s="191" t="str">
        <f>IF(ISNUMBER('1 Aggregate System'!G13),'1 Aggregate System'!G13,"")</f>
        <v/>
      </c>
      <c r="E31" s="315">
        <f>IF(ISNUMBER('1 Aggregate System'!M13),'1 Aggregate System'!M13,"")</f>
        <v>0</v>
      </c>
      <c r="L31" s="192"/>
      <c r="M31" s="192"/>
      <c r="N31" s="192"/>
    </row>
    <row r="32" spans="1:20" ht="15.6" customHeight="1" x14ac:dyDescent="0.3">
      <c r="A32" s="313" t="str">
        <f>IF(ISTEXT('1 Aggregate System'!A14),'1 Aggregate System'!A14,"")</f>
        <v>Coarse B</v>
      </c>
      <c r="B32" s="15" t="str">
        <f>IF(ISTEXT('1 Aggregate System'!B14),'1 Aggregate System'!B14,"")</f>
        <v/>
      </c>
      <c r="C32" s="190" t="str">
        <f>IF(ISTEXT('1 Aggregate System'!D14),'1 Aggregate System'!D14,"")</f>
        <v/>
      </c>
      <c r="D32" s="191" t="str">
        <f>IF(ISNUMBER('1 Aggregate System'!G14),'1 Aggregate System'!G14,"")</f>
        <v/>
      </c>
      <c r="E32" s="315">
        <f>IF(ISNUMBER('1 Aggregate System'!M14),'1 Aggregate System'!M14,"")</f>
        <v>0</v>
      </c>
      <c r="L32" s="192"/>
      <c r="M32" s="192"/>
      <c r="N32" s="192"/>
    </row>
    <row r="33" spans="1:14" ht="15.6" customHeight="1" x14ac:dyDescent="0.3">
      <c r="A33" s="313" t="str">
        <f>IF(ISTEXT('1 Aggregate System'!A15),'1 Aggregate System'!A15,"")</f>
        <v>Other A - If Used</v>
      </c>
      <c r="B33" s="15" t="str">
        <f>IF(ISNUMBER('1 Aggregate System'!B15),'1 Aggregate System'!B15,"")</f>
        <v/>
      </c>
      <c r="C33" s="193" t="str">
        <f>IF(ISTEXT('1 Aggregate System'!D15),'1 Aggregate System'!D15,"")</f>
        <v/>
      </c>
      <c r="D33" s="191">
        <f>IF(ISNUMBER('1 Aggregate System'!G15),'1 Aggregate System'!G15,"")</f>
        <v>1</v>
      </c>
      <c r="E33" s="315">
        <f>IF(ISNUMBER('1 Aggregate System'!M15),'1 Aggregate System'!M15,"")</f>
        <v>1</v>
      </c>
      <c r="L33" s="192"/>
      <c r="M33" s="192"/>
      <c r="N33" s="192"/>
    </row>
    <row r="34" spans="1:14" ht="15.6" customHeight="1" thickBot="1" x14ac:dyDescent="0.35">
      <c r="A34" s="314" t="str">
        <f>IF(ISTEXT('1 Aggregate System'!A16),'1 Aggregate System'!A16,"")</f>
        <v>Other B - If Used</v>
      </c>
      <c r="B34" s="17" t="str">
        <f>IF(ISNUMBER('1 Aggregate System'!B16),'1 Aggregate System'!B16,"")</f>
        <v/>
      </c>
      <c r="C34" s="194" t="str">
        <f>IF(ISTEXT('1 Aggregate System'!D16),'1 Aggregate System'!D16,"")</f>
        <v/>
      </c>
      <c r="D34" s="195">
        <f>IF(ISNUMBER('1 Aggregate System'!G16),'1 Aggregate System'!G16,"")</f>
        <v>1</v>
      </c>
      <c r="E34" s="376">
        <f>IF(ISNUMBER('1 Aggregate System'!M16),'1 Aggregate System'!M16,"")</f>
        <v>1</v>
      </c>
      <c r="H34" s="192"/>
      <c r="I34" s="192"/>
      <c r="J34" s="192"/>
      <c r="K34" s="192"/>
      <c r="L34" s="192"/>
      <c r="M34" s="192"/>
      <c r="N34" s="192"/>
    </row>
    <row r="35" spans="1:14" hidden="1" x14ac:dyDescent="0.3">
      <c r="A35" s="167"/>
      <c r="C35" s="196"/>
      <c r="D35" s="197">
        <v>1</v>
      </c>
      <c r="G35" s="192"/>
      <c r="H35" s="192"/>
      <c r="I35" s="192"/>
      <c r="J35" s="192"/>
      <c r="K35" s="192"/>
      <c r="L35" s="192"/>
      <c r="M35" s="192"/>
      <c r="N35" s="192"/>
    </row>
    <row r="36" spans="1:14" ht="15.6" hidden="1" customHeight="1" x14ac:dyDescent="0.3">
      <c r="A36" s="198" t="s">
        <v>106</v>
      </c>
      <c r="C36" s="199"/>
      <c r="D36" s="197"/>
      <c r="G36" s="192"/>
      <c r="H36" s="192"/>
      <c r="I36" s="192"/>
      <c r="J36" s="192"/>
      <c r="K36" s="192"/>
      <c r="L36" s="192"/>
      <c r="M36" s="192"/>
      <c r="N36" s="192"/>
    </row>
    <row r="37" spans="1:14" ht="15.6" hidden="1" customHeight="1" x14ac:dyDescent="0.3">
      <c r="A37" s="661" t="s">
        <v>38</v>
      </c>
      <c r="B37" s="661"/>
      <c r="C37" s="661"/>
      <c r="D37" s="168">
        <f>'1 Aggregate System'!E22</f>
        <v>0</v>
      </c>
      <c r="G37" s="192"/>
      <c r="H37" s="192"/>
      <c r="I37" s="192"/>
      <c r="J37" s="192"/>
      <c r="K37" s="192"/>
      <c r="L37" s="192"/>
      <c r="M37" s="192"/>
      <c r="N37" s="192"/>
    </row>
    <row r="38" spans="1:14" ht="10.199999999999999" customHeight="1" x14ac:dyDescent="0.3">
      <c r="L38" s="200"/>
    </row>
    <row r="39" spans="1:14" ht="5.7" customHeight="1" thickBot="1" x14ac:dyDescent="0.35"/>
    <row r="40" spans="1:14" ht="16.2" thickBot="1" x14ac:dyDescent="0.35">
      <c r="A40" s="574" t="s">
        <v>107</v>
      </c>
      <c r="B40" s="575"/>
      <c r="C40" s="575"/>
      <c r="D40" s="575"/>
      <c r="E40" s="576"/>
      <c r="F40" s="660"/>
      <c r="G40" s="660"/>
      <c r="H40" s="639"/>
    </row>
    <row r="41" spans="1:14" ht="18" thickBot="1" x14ac:dyDescent="0.35">
      <c r="A41" s="201"/>
      <c r="B41" s="202" t="s">
        <v>108</v>
      </c>
      <c r="C41" s="650" t="s">
        <v>95</v>
      </c>
      <c r="D41" s="650"/>
      <c r="E41" s="202" t="s">
        <v>298</v>
      </c>
      <c r="F41" s="660"/>
      <c r="G41" s="660"/>
      <c r="H41" s="639"/>
    </row>
    <row r="42" spans="1:14" ht="16.2" thickBot="1" x14ac:dyDescent="0.35">
      <c r="A42" s="203" t="s">
        <v>109</v>
      </c>
      <c r="B42" s="204">
        <f>IF(ISNUMBER('3 Mix Design'!D21/8.34),'3 Mix Design'!D21/8.34,"")</f>
        <v>0</v>
      </c>
      <c r="C42" s="651"/>
      <c r="D42" s="652"/>
      <c r="E42" s="564"/>
    </row>
    <row r="43" spans="1:14" ht="16.2" thickBot="1" x14ac:dyDescent="0.35">
      <c r="A43" s="138"/>
      <c r="B43" s="138"/>
      <c r="C43" s="138"/>
      <c r="D43" s="138"/>
    </row>
    <row r="44" spans="1:14" ht="16.2" thickBot="1" x14ac:dyDescent="0.35">
      <c r="A44" s="574" t="s">
        <v>110</v>
      </c>
      <c r="B44" s="575"/>
      <c r="C44" s="575"/>
      <c r="D44" s="575"/>
      <c r="E44" s="576"/>
    </row>
    <row r="45" spans="1:14" ht="18" thickBot="1" x14ac:dyDescent="0.35">
      <c r="A45" s="205"/>
      <c r="B45" s="653" t="s">
        <v>111</v>
      </c>
      <c r="C45" s="654"/>
      <c r="D45" s="655" t="s">
        <v>242</v>
      </c>
      <c r="E45" s="654"/>
    </row>
    <row r="46" spans="1:14" x14ac:dyDescent="0.3">
      <c r="A46" s="300">
        <v>1</v>
      </c>
      <c r="B46" s="643"/>
      <c r="C46" s="644"/>
      <c r="D46" s="644"/>
      <c r="E46" s="645"/>
    </row>
    <row r="47" spans="1:14" x14ac:dyDescent="0.3">
      <c r="A47" s="301">
        <v>2</v>
      </c>
      <c r="B47" s="646"/>
      <c r="C47" s="647"/>
      <c r="D47" s="647"/>
      <c r="E47" s="648"/>
    </row>
    <row r="48" spans="1:14" x14ac:dyDescent="0.3">
      <c r="A48" s="301">
        <v>3</v>
      </c>
      <c r="B48" s="646"/>
      <c r="C48" s="649"/>
      <c r="D48" s="649"/>
      <c r="E48" s="648"/>
    </row>
    <row r="49" spans="1:5" ht="16.2" thickBot="1" x14ac:dyDescent="0.35">
      <c r="A49" s="312">
        <v>4</v>
      </c>
      <c r="B49" s="640"/>
      <c r="C49" s="641"/>
      <c r="D49" s="641"/>
      <c r="E49" s="642"/>
    </row>
    <row r="91" spans="4:6" x14ac:dyDescent="0.3">
      <c r="D91" s="206"/>
      <c r="E91" s="207"/>
    </row>
    <row r="92" spans="4:6" x14ac:dyDescent="0.3">
      <c r="D92" s="206"/>
      <c r="E92" s="207"/>
    </row>
    <row r="93" spans="4:6" x14ac:dyDescent="0.3">
      <c r="D93" s="206"/>
      <c r="E93" s="207"/>
    </row>
    <row r="94" spans="4:6" x14ac:dyDescent="0.3">
      <c r="D94" s="206"/>
      <c r="E94" s="207"/>
    </row>
    <row r="95" spans="4:6" x14ac:dyDescent="0.3">
      <c r="D95" s="206"/>
      <c r="E95" s="207"/>
      <c r="F95" s="208"/>
    </row>
    <row r="96" spans="4:6" x14ac:dyDescent="0.3">
      <c r="D96" s="206"/>
      <c r="E96" s="207"/>
      <c r="F96" s="208"/>
    </row>
    <row r="97" spans="2:6" x14ac:dyDescent="0.3">
      <c r="D97" s="206"/>
      <c r="E97" s="207"/>
      <c r="F97" s="208"/>
    </row>
    <row r="98" spans="2:6" x14ac:dyDescent="0.3">
      <c r="F98" s="208"/>
    </row>
    <row r="99" spans="2:6" x14ac:dyDescent="0.3">
      <c r="F99" s="208"/>
    </row>
    <row r="100" spans="2:6" x14ac:dyDescent="0.3">
      <c r="F100" s="208"/>
    </row>
    <row r="101" spans="2:6" x14ac:dyDescent="0.3">
      <c r="F101" s="208"/>
    </row>
    <row r="102" spans="2:6" x14ac:dyDescent="0.3">
      <c r="B102" s="209"/>
      <c r="C102" s="210"/>
      <c r="D102" s="210"/>
    </row>
    <row r="103" spans="2:6" x14ac:dyDescent="0.3">
      <c r="B103" s="209"/>
      <c r="C103" s="210"/>
      <c r="D103" s="210"/>
    </row>
    <row r="104" spans="2:6" x14ac:dyDescent="0.3">
      <c r="B104" s="209"/>
      <c r="C104" s="210"/>
      <c r="D104" s="210"/>
    </row>
    <row r="105" spans="2:6" x14ac:dyDescent="0.3">
      <c r="B105" s="209"/>
      <c r="C105" s="210"/>
      <c r="D105" s="210"/>
    </row>
    <row r="106" spans="2:6" x14ac:dyDescent="0.3">
      <c r="B106" s="209"/>
      <c r="C106" s="210"/>
      <c r="D106" s="210"/>
    </row>
    <row r="107" spans="2:6" x14ac:dyDescent="0.3">
      <c r="B107" s="209"/>
      <c r="C107" s="210"/>
      <c r="D107" s="210"/>
    </row>
    <row r="108" spans="2:6" x14ac:dyDescent="0.3">
      <c r="B108" s="209"/>
      <c r="C108" s="211"/>
      <c r="D108" s="212"/>
    </row>
    <row r="109" spans="2:6" x14ac:dyDescent="0.3">
      <c r="C109" s="211"/>
      <c r="D109" s="212"/>
    </row>
    <row r="110" spans="2:6" x14ac:dyDescent="0.3">
      <c r="C110" s="211"/>
      <c r="D110" s="212"/>
    </row>
    <row r="111" spans="2:6" x14ac:dyDescent="0.3">
      <c r="C111" s="211"/>
      <c r="D111" s="212"/>
    </row>
    <row r="112" spans="2:6" x14ac:dyDescent="0.3">
      <c r="C112" s="211"/>
      <c r="D112" s="212"/>
    </row>
    <row r="113" spans="3:12" x14ac:dyDescent="0.3">
      <c r="C113" s="211"/>
      <c r="D113" s="212"/>
    </row>
    <row r="114" spans="3:12" x14ac:dyDescent="0.3">
      <c r="C114" s="211"/>
      <c r="D114" s="212"/>
    </row>
    <row r="115" spans="3:12" x14ac:dyDescent="0.3">
      <c r="C115" s="211"/>
      <c r="D115" s="212"/>
    </row>
    <row r="116" spans="3:12" x14ac:dyDescent="0.3">
      <c r="C116" s="211"/>
      <c r="D116" s="212"/>
    </row>
    <row r="117" spans="3:12" x14ac:dyDescent="0.3">
      <c r="C117" s="211"/>
      <c r="D117" s="212"/>
    </row>
    <row r="119" spans="3:12" x14ac:dyDescent="0.3">
      <c r="E119" s="213"/>
    </row>
    <row r="120" spans="3:12" x14ac:dyDescent="0.3">
      <c r="D120" s="214"/>
      <c r="E120" s="213"/>
    </row>
    <row r="121" spans="3:12" x14ac:dyDescent="0.3">
      <c r="D121" s="214"/>
      <c r="E121" s="213"/>
    </row>
    <row r="122" spans="3:12" x14ac:dyDescent="0.3">
      <c r="D122" s="214"/>
      <c r="E122" s="213"/>
    </row>
    <row r="123" spans="3:12" x14ac:dyDescent="0.3">
      <c r="D123" s="214"/>
      <c r="E123" s="213"/>
    </row>
    <row r="124" spans="3:12" x14ac:dyDescent="0.3">
      <c r="D124" s="214"/>
      <c r="E124" s="213"/>
    </row>
    <row r="125" spans="3:12" x14ac:dyDescent="0.3">
      <c r="D125" s="214"/>
      <c r="E125" s="213"/>
      <c r="K125" s="213"/>
      <c r="L125" s="214"/>
    </row>
    <row r="126" spans="3:12" x14ac:dyDescent="0.3">
      <c r="D126" s="214"/>
      <c r="K126" s="213"/>
      <c r="L126" s="214"/>
    </row>
    <row r="127" spans="3:12" x14ac:dyDescent="0.3">
      <c r="D127" s="214"/>
      <c r="K127" s="213"/>
      <c r="L127" s="214"/>
    </row>
    <row r="128" spans="3:12" x14ac:dyDescent="0.3">
      <c r="D128" s="214"/>
      <c r="K128" s="213"/>
      <c r="L128" s="214"/>
    </row>
    <row r="129" spans="4:12" x14ac:dyDescent="0.3">
      <c r="D129" s="214"/>
      <c r="K129" s="213"/>
      <c r="L129" s="214"/>
    </row>
    <row r="130" spans="4:12" x14ac:dyDescent="0.3">
      <c r="D130" s="214"/>
      <c r="K130" s="213"/>
      <c r="L130" s="214"/>
    </row>
    <row r="131" spans="4:12" x14ac:dyDescent="0.3">
      <c r="D131" s="214"/>
      <c r="K131" s="213"/>
      <c r="L131" s="214"/>
    </row>
    <row r="132" spans="4:12" x14ac:dyDescent="0.3">
      <c r="D132" s="214"/>
    </row>
    <row r="134" spans="4:12" x14ac:dyDescent="0.3">
      <c r="J134" s="215"/>
      <c r="K134" s="215"/>
    </row>
    <row r="135" spans="4:12" x14ac:dyDescent="0.3">
      <c r="J135" s="216"/>
      <c r="K135" s="216"/>
    </row>
    <row r="150" spans="5:5" x14ac:dyDescent="0.3">
      <c r="E150" s="212"/>
    </row>
    <row r="151" spans="5:5" x14ac:dyDescent="0.3">
      <c r="E151" s="212"/>
    </row>
    <row r="152" spans="5:5" x14ac:dyDescent="0.3">
      <c r="E152" s="212"/>
    </row>
    <row r="153" spans="5:5" x14ac:dyDescent="0.3">
      <c r="E153" s="212"/>
    </row>
    <row r="154" spans="5:5" x14ac:dyDescent="0.3">
      <c r="E154" s="212"/>
    </row>
    <row r="155" spans="5:5" x14ac:dyDescent="0.3">
      <c r="E155" s="212"/>
    </row>
    <row r="156" spans="5:5" x14ac:dyDescent="0.3">
      <c r="E156" s="212"/>
    </row>
    <row r="157" spans="5:5" x14ac:dyDescent="0.3">
      <c r="E157" s="212"/>
    </row>
    <row r="158" spans="5:5" x14ac:dyDescent="0.3">
      <c r="E158" s="212"/>
    </row>
    <row r="159" spans="5:5" x14ac:dyDescent="0.3">
      <c r="E159" s="212"/>
    </row>
    <row r="160" spans="5:5" x14ac:dyDescent="0.3">
      <c r="E160" s="212"/>
    </row>
  </sheetData>
  <sheetProtection algorithmName="SHA-512" hashValue="ax2ExglevTEJvx2d/fjK5XkUVL5xc0ugFExLCxav342IKhuk47pZSl6QTjtje4TvTgWdn4sVTnxJq/1QiiwE1w==" saltValue="IQzByngrXzzrXAiG53f7TA==" spinCount="100000" sheet="1" selectLockedCells="1"/>
  <mergeCells count="40">
    <mergeCell ref="A6:D6"/>
    <mergeCell ref="E6:I6"/>
    <mergeCell ref="A4:B4"/>
    <mergeCell ref="C4:D4"/>
    <mergeCell ref="E4:G4"/>
    <mergeCell ref="H4:I4"/>
    <mergeCell ref="A5:D5"/>
    <mergeCell ref="E5:I5"/>
    <mergeCell ref="A1:G1"/>
    <mergeCell ref="A2:I2"/>
    <mergeCell ref="A3:B3"/>
    <mergeCell ref="C3:D3"/>
    <mergeCell ref="E3:G3"/>
    <mergeCell ref="H3:I3"/>
    <mergeCell ref="A7:D7"/>
    <mergeCell ref="E7:I7"/>
    <mergeCell ref="A8:D8"/>
    <mergeCell ref="E8:I8"/>
    <mergeCell ref="A10:E10"/>
    <mergeCell ref="A16:B16"/>
    <mergeCell ref="A18:C18"/>
    <mergeCell ref="A28:E28"/>
    <mergeCell ref="F11:G11"/>
    <mergeCell ref="F40:G41"/>
    <mergeCell ref="A40:E40"/>
    <mergeCell ref="A37:C37"/>
    <mergeCell ref="H40:H41"/>
    <mergeCell ref="B49:C49"/>
    <mergeCell ref="D49:E49"/>
    <mergeCell ref="B46:C46"/>
    <mergeCell ref="D46:E46"/>
    <mergeCell ref="B47:C47"/>
    <mergeCell ref="D47:E47"/>
    <mergeCell ref="B48:C48"/>
    <mergeCell ref="D48:E48"/>
    <mergeCell ref="C41:D41"/>
    <mergeCell ref="C42:D42"/>
    <mergeCell ref="A44:E44"/>
    <mergeCell ref="B45:C45"/>
    <mergeCell ref="D45:E45"/>
  </mergeCells>
  <pageMargins left="0.7" right="0.7" top="0.75" bottom="0.75" header="0.3" footer="0.3"/>
  <pageSetup scale="65" orientation="portrait" verticalDpi="1200" r:id="rId1"/>
  <colBreaks count="1" manualBreakCount="1">
    <brk id="9"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08F2-1E50-436C-8C86-631E6B75F762}">
  <dimension ref="A1:O34"/>
  <sheetViews>
    <sheetView showGridLines="0" topLeftCell="A13" zoomScale="85" zoomScaleNormal="85" zoomScaleSheetLayoutView="85" workbookViewId="0">
      <selection activeCell="B33" sqref="B33"/>
    </sheetView>
  </sheetViews>
  <sheetFormatPr defaultColWidth="8.6640625" defaultRowHeight="15.6" x14ac:dyDescent="0.3"/>
  <cols>
    <col min="1" max="1" width="18.44140625" style="303" customWidth="1"/>
    <col min="2" max="2" width="16.33203125" style="303" customWidth="1"/>
    <col min="3" max="3" width="12.5546875" style="303" customWidth="1"/>
    <col min="4" max="4" width="12" style="303" customWidth="1"/>
    <col min="5" max="5" width="13.5546875" style="303" customWidth="1"/>
    <col min="6" max="6" width="13.5546875" style="303" bestFit="1" customWidth="1"/>
    <col min="7" max="7" width="7.44140625" style="303" customWidth="1"/>
    <col min="8" max="8" width="7.6640625" style="303" customWidth="1"/>
    <col min="9" max="12" width="13.6640625" style="303" customWidth="1"/>
    <col min="13" max="16384" width="8.6640625" style="303"/>
  </cols>
  <sheetData>
    <row r="1" spans="1:15" s="134" customFormat="1" ht="16.2" thickBot="1" x14ac:dyDescent="0.35">
      <c r="A1" s="672" t="s">
        <v>306</v>
      </c>
      <c r="B1" s="673"/>
      <c r="C1" s="673"/>
      <c r="D1" s="673"/>
      <c r="E1" s="673"/>
      <c r="F1" s="673"/>
      <c r="G1" s="674"/>
      <c r="H1" s="309" t="s">
        <v>21</v>
      </c>
      <c r="I1" s="305" t="str">
        <f>IF(ISBLANK('1 Aggregate System'!M1),"",'1 Aggregate System'!M1)</f>
        <v/>
      </c>
    </row>
    <row r="2" spans="1:15" s="134" customFormat="1" x14ac:dyDescent="0.3">
      <c r="A2" s="675" t="s">
        <v>22</v>
      </c>
      <c r="B2" s="676"/>
      <c r="C2" s="676"/>
      <c r="D2" s="676"/>
      <c r="E2" s="676"/>
      <c r="F2" s="676"/>
      <c r="G2" s="676"/>
      <c r="H2" s="677"/>
      <c r="I2" s="678"/>
    </row>
    <row r="3" spans="1:15" s="134" customFormat="1" x14ac:dyDescent="0.3">
      <c r="A3" s="679" t="s">
        <v>23</v>
      </c>
      <c r="B3" s="680"/>
      <c r="C3" s="680" t="s">
        <v>24</v>
      </c>
      <c r="D3" s="680"/>
      <c r="E3" s="681" t="s">
        <v>25</v>
      </c>
      <c r="F3" s="682"/>
      <c r="G3" s="682"/>
      <c r="H3" s="683" t="s">
        <v>26</v>
      </c>
      <c r="I3" s="684"/>
    </row>
    <row r="4" spans="1:15" s="134" customFormat="1" x14ac:dyDescent="0.3">
      <c r="A4" s="685" t="str">
        <f>IF(ISBLANK('1 Aggregate System'!A4),"",'1 Aggregate System'!A4)</f>
        <v/>
      </c>
      <c r="B4" s="687"/>
      <c r="C4" s="688" t="str">
        <f>IF(ISBLANK('1 Aggregate System'!C4),"",'1 Aggregate System'!C4)</f>
        <v/>
      </c>
      <c r="D4" s="687"/>
      <c r="E4" s="690" t="str">
        <f>IF(ISBLANK('1 Aggregate System'!E4),"",'1 Aggregate System'!E4)</f>
        <v/>
      </c>
      <c r="F4" s="691"/>
      <c r="G4" s="691"/>
      <c r="H4" s="702" t="str">
        <f>IF(ISBLANK('1 Aggregate System'!L4),"",'1 Aggregate System'!L4)</f>
        <v/>
      </c>
      <c r="I4" s="703"/>
      <c r="O4" s="134" t="s">
        <v>6</v>
      </c>
    </row>
    <row r="5" spans="1:15" s="134" customFormat="1" x14ac:dyDescent="0.3">
      <c r="A5" s="662" t="s">
        <v>27</v>
      </c>
      <c r="B5" s="663"/>
      <c r="C5" s="663"/>
      <c r="D5" s="663"/>
      <c r="E5" s="664" t="s">
        <v>28</v>
      </c>
      <c r="F5" s="665"/>
      <c r="G5" s="665"/>
      <c r="H5" s="665"/>
      <c r="I5" s="666"/>
    </row>
    <row r="6" spans="1:15" s="134" customFormat="1" x14ac:dyDescent="0.3">
      <c r="A6" s="685" t="str">
        <f>IF(ISBLANK('1 Aggregate System'!A6),"",'1 Aggregate System'!A6)</f>
        <v/>
      </c>
      <c r="B6" s="686"/>
      <c r="C6" s="686"/>
      <c r="D6" s="687"/>
      <c r="E6" s="688" t="str">
        <f>IF(ISBLANK('1 Aggregate System'!E6),"",'1 Aggregate System'!E6)</f>
        <v/>
      </c>
      <c r="F6" s="686"/>
      <c r="G6" s="686"/>
      <c r="H6" s="686"/>
      <c r="I6" s="689"/>
    </row>
    <row r="7" spans="1:15" s="134" customFormat="1" x14ac:dyDescent="0.3">
      <c r="A7" s="662" t="s">
        <v>29</v>
      </c>
      <c r="B7" s="663"/>
      <c r="C7" s="663"/>
      <c r="D7" s="663"/>
      <c r="E7" s="664" t="s">
        <v>30</v>
      </c>
      <c r="F7" s="665"/>
      <c r="G7" s="665"/>
      <c r="H7" s="665"/>
      <c r="I7" s="666"/>
    </row>
    <row r="8" spans="1:15" s="134" customFormat="1" ht="16.2" thickBot="1" x14ac:dyDescent="0.35">
      <c r="A8" s="667" t="str">
        <f>IF(ISBLANK('1 Aggregate System'!A8),"",'1 Aggregate System'!A8)</f>
        <v/>
      </c>
      <c r="B8" s="668"/>
      <c r="C8" s="668"/>
      <c r="D8" s="668"/>
      <c r="E8" s="669" t="str">
        <f>IF(ISBLANK('1 Aggregate System'!E8),"",'1 Aggregate System'!E8)</f>
        <v/>
      </c>
      <c r="F8" s="670"/>
      <c r="G8" s="670"/>
      <c r="H8" s="670"/>
      <c r="I8" s="671"/>
    </row>
    <row r="9" spans="1:15" s="136" customFormat="1" ht="16.2" thickBot="1" x14ac:dyDescent="0.35">
      <c r="A9" s="299"/>
      <c r="B9" s="299"/>
      <c r="C9" s="299"/>
      <c r="D9" s="299"/>
      <c r="E9" s="299"/>
      <c r="F9" s="299"/>
      <c r="G9" s="299"/>
      <c r="H9" s="299"/>
      <c r="I9" s="299"/>
    </row>
    <row r="10" spans="1:15" ht="16.2" thickBot="1" x14ac:dyDescent="0.35">
      <c r="A10" s="672" t="s">
        <v>112</v>
      </c>
      <c r="B10" s="673"/>
      <c r="C10" s="673"/>
      <c r="D10" s="673"/>
      <c r="E10" s="673"/>
      <c r="F10" s="674"/>
      <c r="G10" s="149"/>
      <c r="H10" s="149"/>
      <c r="I10" s="134"/>
      <c r="J10" s="134"/>
      <c r="K10" s="134"/>
    </row>
    <row r="11" spans="1:15" x14ac:dyDescent="0.3">
      <c r="A11" s="695" t="s">
        <v>113</v>
      </c>
      <c r="B11" s="697" t="s">
        <v>94</v>
      </c>
      <c r="C11" s="565" t="s">
        <v>95</v>
      </c>
      <c r="D11" s="697" t="s">
        <v>248</v>
      </c>
      <c r="E11" s="217" t="s">
        <v>114</v>
      </c>
      <c r="F11" s="697" t="s">
        <v>115</v>
      </c>
      <c r="G11" s="149"/>
      <c r="H11" s="149"/>
      <c r="I11" s="134"/>
      <c r="J11" s="134"/>
      <c r="K11" s="134"/>
    </row>
    <row r="12" spans="1:15" ht="16.2" thickBot="1" x14ac:dyDescent="0.35">
      <c r="A12" s="696"/>
      <c r="B12" s="698"/>
      <c r="C12" s="566"/>
      <c r="D12" s="698"/>
      <c r="E12" s="191" t="s">
        <v>116</v>
      </c>
      <c r="F12" s="698"/>
      <c r="G12" s="149"/>
      <c r="H12" s="149"/>
      <c r="I12" s="134"/>
      <c r="J12" s="134"/>
      <c r="K12" s="134"/>
    </row>
    <row r="13" spans="1:15" x14ac:dyDescent="0.3">
      <c r="A13" s="341" t="str">
        <f>'2 Paste Quality'!A12</f>
        <v>Cement</v>
      </c>
      <c r="B13" s="342" t="str">
        <f>IF(ISTEXT('2 Paste Quality'!B12),'2 Paste Quality'!B12,"")</f>
        <v/>
      </c>
      <c r="C13" s="218" t="str">
        <f>IF(ISTEXT('2 Paste Quality'!C12),'2 Paste Quality'!C12,"")</f>
        <v/>
      </c>
      <c r="D13" s="219" t="str">
        <f>IF(ISBLANK(B25),"",ROUND(B25,0)-ROUND(D14,0)-ROUND(D15,0))</f>
        <v/>
      </c>
      <c r="E13" s="220">
        <f>'2 Paste Quality'!E12</f>
        <v>3.15</v>
      </c>
      <c r="F13" s="408" t="e">
        <f>(D13/E13/62.4)</f>
        <v>#VALUE!</v>
      </c>
      <c r="G13" s="149"/>
      <c r="H13" s="221"/>
      <c r="I13" s="134"/>
      <c r="J13" s="134"/>
      <c r="K13" s="134"/>
      <c r="L13" s="134"/>
    </row>
    <row r="14" spans="1:15" x14ac:dyDescent="0.3">
      <c r="A14" s="313" t="str">
        <f>'2 Paste Quality'!A13</f>
        <v>Fly Ash</v>
      </c>
      <c r="B14" s="343" t="str">
        <f>IF(ISTEXT('2 Paste Quality'!B13),'2 Paste Quality'!B13,"")</f>
        <v/>
      </c>
      <c r="C14" s="222" t="str">
        <f>IF(ISTEXT('2 Paste Quality'!C13),'2 Paste Quality'!C13,"")</f>
        <v/>
      </c>
      <c r="D14" s="223" t="str">
        <f>IF(ISBLANK(B25),"",ROUND(B25,0)*B31/100)</f>
        <v/>
      </c>
      <c r="E14" s="224">
        <f>'2 Paste Quality'!E13</f>
        <v>1</v>
      </c>
      <c r="F14" s="409" t="e">
        <f>(D14/E14/62.4)</f>
        <v>#VALUE!</v>
      </c>
      <c r="G14" s="149"/>
      <c r="H14" s="225"/>
      <c r="I14" s="149"/>
      <c r="J14" s="138"/>
      <c r="K14" s="138"/>
      <c r="L14" s="134"/>
    </row>
    <row r="15" spans="1:15" x14ac:dyDescent="0.3">
      <c r="A15" s="313" t="str">
        <f>'2 Paste Quality'!A14</f>
        <v xml:space="preserve">Slag </v>
      </c>
      <c r="B15" s="343" t="str">
        <f>IF(ISTEXT('2 Paste Quality'!B14),'2 Paste Quality'!B14,"")</f>
        <v/>
      </c>
      <c r="C15" s="222" t="str">
        <f>IF(ISTEXT('2 Paste Quality'!C14),'2 Paste Quality'!C14,"")</f>
        <v/>
      </c>
      <c r="D15" s="15" t="str">
        <f>IF(ISBLANK(B25),"",ROUND(B25,0)*B32/100)</f>
        <v/>
      </c>
      <c r="E15" s="224">
        <f>'2 Paste Quality'!E14</f>
        <v>1</v>
      </c>
      <c r="F15" s="409" t="e">
        <f t="shared" ref="F15:F21" si="0">(D15/E15/62.4)</f>
        <v>#VALUE!</v>
      </c>
      <c r="J15" s="149"/>
      <c r="K15" s="134"/>
      <c r="L15" s="134"/>
    </row>
    <row r="16" spans="1:15" x14ac:dyDescent="0.3">
      <c r="A16" s="313" t="str">
        <f>'1 Aggregate System'!A12</f>
        <v>Coarse A</v>
      </c>
      <c r="B16" s="320" t="s">
        <v>249</v>
      </c>
      <c r="C16" s="222" t="str">
        <f>IF(ISTEXT('1 Aggregate System'!D12),'1 Aggregate System'!D12,"")</f>
        <v/>
      </c>
      <c r="D16" s="223">
        <f>B33*'1 Aggregate System'!C24/100</f>
        <v>0</v>
      </c>
      <c r="E16" s="224">
        <f>'2 Paste Quality'!E30</f>
        <v>0</v>
      </c>
      <c r="F16" s="409" t="e">
        <f>(D16/E16/62.4)</f>
        <v>#DIV/0!</v>
      </c>
      <c r="G16" s="226"/>
      <c r="H16" s="149"/>
      <c r="I16" s="134"/>
      <c r="J16" s="134"/>
      <c r="K16" s="134"/>
      <c r="L16" s="134"/>
    </row>
    <row r="17" spans="1:14" x14ac:dyDescent="0.3">
      <c r="A17" s="313" t="str">
        <f>'1 Aggregate System'!A13</f>
        <v>Fine</v>
      </c>
      <c r="B17" s="320" t="s">
        <v>249</v>
      </c>
      <c r="C17" s="222" t="str">
        <f>IF(ISTEXT('1 Aggregate System'!D13),'1 Aggregate System'!D13,"")</f>
        <v/>
      </c>
      <c r="D17" s="223">
        <f>B33*'1 Aggregate System'!E24/100</f>
        <v>0</v>
      </c>
      <c r="E17" s="224">
        <f>'2 Paste Quality'!E31</f>
        <v>0</v>
      </c>
      <c r="F17" s="409" t="e">
        <f t="shared" si="0"/>
        <v>#DIV/0!</v>
      </c>
      <c r="G17" s="149"/>
      <c r="H17" s="149"/>
      <c r="I17" s="134"/>
      <c r="J17" s="134"/>
      <c r="K17" s="134"/>
      <c r="L17" s="134"/>
    </row>
    <row r="18" spans="1:14" ht="15.6" customHeight="1" x14ac:dyDescent="0.3">
      <c r="A18" s="313" t="str">
        <f>'1 Aggregate System'!A14</f>
        <v>Coarse B</v>
      </c>
      <c r="B18" s="320" t="s">
        <v>249</v>
      </c>
      <c r="C18" s="222" t="str">
        <f>IF(ISTEXT('1 Aggregate System'!D14),'1 Aggregate System'!D14,"")</f>
        <v/>
      </c>
      <c r="D18" s="223">
        <f>B33*'1 Aggregate System'!G24/100</f>
        <v>0</v>
      </c>
      <c r="E18" s="224">
        <f>'2 Paste Quality'!E32</f>
        <v>0</v>
      </c>
      <c r="F18" s="409" t="e">
        <f t="shared" si="0"/>
        <v>#DIV/0!</v>
      </c>
      <c r="G18" s="699" t="str">
        <f>'1 Aggregate System'!N7</f>
        <v>WisDOT Version</v>
      </c>
      <c r="H18" s="699"/>
      <c r="I18" s="699"/>
      <c r="J18" s="134"/>
      <c r="K18" s="134"/>
      <c r="L18" s="134"/>
    </row>
    <row r="19" spans="1:14" x14ac:dyDescent="0.3">
      <c r="A19" s="313" t="str">
        <f>'1 Aggregate System'!A15</f>
        <v>Other A - If Used</v>
      </c>
      <c r="B19" s="320" t="s">
        <v>249</v>
      </c>
      <c r="C19" s="222" t="str">
        <f>IF(ISTEXT('1 Aggregate System'!D15),'1 Aggregate System'!D15,"")</f>
        <v/>
      </c>
      <c r="D19" s="223">
        <f>B33*'1 Aggregate System'!I24/100</f>
        <v>0</v>
      </c>
      <c r="E19" s="224">
        <f>'2 Paste Quality'!E33</f>
        <v>1</v>
      </c>
      <c r="F19" s="409">
        <f t="shared" si="0"/>
        <v>0</v>
      </c>
      <c r="G19" s="700">
        <f>'1 Aggregate System'!P7</f>
        <v>4.5</v>
      </c>
      <c r="H19" s="700"/>
      <c r="I19" s="700"/>
      <c r="J19" s="134"/>
      <c r="K19" s="134"/>
      <c r="L19" s="228"/>
      <c r="M19" s="136"/>
      <c r="N19" s="136"/>
    </row>
    <row r="20" spans="1:14" x14ac:dyDescent="0.3">
      <c r="A20" s="313" t="str">
        <f>'1 Aggregate System'!A16</f>
        <v>Other B - If Used</v>
      </c>
      <c r="B20" s="320" t="s">
        <v>249</v>
      </c>
      <c r="C20" s="222" t="str">
        <f>IF(ISTEXT('1 Aggregate System'!D16),'1 Aggregate System'!D16,"")</f>
        <v/>
      </c>
      <c r="D20" s="223">
        <f>B33*'1 Aggregate System'!K24/100</f>
        <v>0</v>
      </c>
      <c r="E20" s="224">
        <f>'2 Paste Quality'!E34</f>
        <v>1</v>
      </c>
      <c r="F20" s="409">
        <f t="shared" si="0"/>
        <v>0</v>
      </c>
      <c r="G20" s="701" t="str">
        <f>'1 Aggregate System'!O8</f>
        <v>3.2.2022</v>
      </c>
      <c r="H20" s="701"/>
      <c r="I20" s="701"/>
      <c r="J20" s="134"/>
      <c r="K20" s="134"/>
      <c r="L20" s="229"/>
      <c r="M20" s="230"/>
      <c r="N20" s="229"/>
    </row>
    <row r="21" spans="1:14" x14ac:dyDescent="0.3">
      <c r="A21" s="344" t="s">
        <v>109</v>
      </c>
      <c r="B21" s="344"/>
      <c r="C21" s="321" t="str">
        <f>IF(ISTEXT('2 Paste Quality'!C42),'2 Paste Quality'!C42,"")</f>
        <v/>
      </c>
      <c r="D21" s="223">
        <f>B25*B30</f>
        <v>0</v>
      </c>
      <c r="E21" s="224">
        <f>'2 Paste Quality'!D35</f>
        <v>1</v>
      </c>
      <c r="F21" s="409">
        <f t="shared" si="0"/>
        <v>0</v>
      </c>
      <c r="G21" s="149"/>
      <c r="H21" s="149"/>
      <c r="I21" s="227"/>
      <c r="J21" s="134"/>
      <c r="K21" s="134"/>
      <c r="L21" s="136"/>
      <c r="M21" s="136"/>
      <c r="N21" s="136"/>
    </row>
    <row r="22" spans="1:14" ht="16.2" thickBot="1" x14ac:dyDescent="0.35">
      <c r="A22" s="345" t="s">
        <v>103</v>
      </c>
      <c r="B22" s="346"/>
      <c r="C22" s="231"/>
      <c r="D22" s="232" t="str">
        <f>IF(ISNUMBER('2 Paste Quality'!B20),'2 Paste Quality'!B20,"")</f>
        <v/>
      </c>
      <c r="E22" s="233"/>
      <c r="F22" s="410" t="e">
        <f>27*D22/100</f>
        <v>#VALUE!</v>
      </c>
      <c r="G22" s="149"/>
      <c r="H22" s="149"/>
      <c r="I22" s="227"/>
      <c r="L22" s="136"/>
      <c r="M22" s="136"/>
      <c r="N22" s="136"/>
    </row>
    <row r="23" spans="1:14" ht="16.2" thickBot="1" x14ac:dyDescent="0.35">
      <c r="A23" s="693" t="s">
        <v>117</v>
      </c>
      <c r="B23" s="694"/>
      <c r="C23" s="294"/>
      <c r="D23" s="234">
        <f>SUM(D13:D21)</f>
        <v>0</v>
      </c>
      <c r="E23" s="235"/>
      <c r="F23" s="236" t="e">
        <f>SUM(F13:F22)</f>
        <v>#VALUE!</v>
      </c>
      <c r="G23" s="149"/>
      <c r="H23" s="149"/>
      <c r="I23" s="134"/>
    </row>
    <row r="24" spans="1:14" ht="16.2" thickBot="1" x14ac:dyDescent="0.35">
      <c r="A24" s="134"/>
      <c r="B24" s="134"/>
      <c r="C24" s="196"/>
      <c r="D24" s="237"/>
      <c r="E24" s="134"/>
      <c r="F24" s="134"/>
      <c r="G24" s="134"/>
      <c r="H24" s="134"/>
      <c r="I24" s="134"/>
    </row>
    <row r="25" spans="1:14" ht="16.2" thickBot="1" x14ac:dyDescent="0.35">
      <c r="A25" s="238" t="s">
        <v>118</v>
      </c>
      <c r="B25" s="331"/>
      <c r="C25" s="332" t="str">
        <f>IF(ISBLANK($B$25),"",D13+D14+D15)</f>
        <v/>
      </c>
      <c r="D25" s="141" t="s">
        <v>119</v>
      </c>
      <c r="F25" s="304"/>
      <c r="G25" s="304"/>
      <c r="H25" s="304"/>
      <c r="I25" s="134"/>
    </row>
    <row r="26" spans="1:14" x14ac:dyDescent="0.3">
      <c r="A26" s="239" t="s">
        <v>120</v>
      </c>
      <c r="B26" s="333"/>
      <c r="C26" s="334" t="str">
        <f>IFERROR((F13+F14+F15+F21+F22)/F23*100,"")</f>
        <v/>
      </c>
      <c r="D26" s="335" t="s">
        <v>56</v>
      </c>
      <c r="F26" s="134"/>
      <c r="G26" s="134"/>
      <c r="H26" s="134"/>
      <c r="I26" s="134"/>
      <c r="J26" s="134"/>
      <c r="K26" s="134"/>
      <c r="L26" s="134"/>
    </row>
    <row r="27" spans="1:14" x14ac:dyDescent="0.3">
      <c r="A27" s="152" t="s">
        <v>121</v>
      </c>
      <c r="B27" s="333"/>
      <c r="C27" s="334" t="str">
        <f>IFERROR((F16+F17+F18+F19+F20)/F23*100,"")</f>
        <v/>
      </c>
      <c r="D27" s="335" t="s">
        <v>56</v>
      </c>
      <c r="F27" s="134"/>
      <c r="G27" s="134"/>
      <c r="H27" s="134"/>
      <c r="I27" s="134"/>
      <c r="J27" s="134"/>
      <c r="K27" s="134"/>
      <c r="L27" s="134"/>
    </row>
    <row r="28" spans="1:14" x14ac:dyDescent="0.3">
      <c r="A28" s="239" t="s">
        <v>122</v>
      </c>
      <c r="B28" s="336"/>
      <c r="C28" s="334" t="str">
        <f>IFERROR(C27*'2 Paste Quality'!B25/100,"")</f>
        <v/>
      </c>
      <c r="D28" s="335" t="s">
        <v>56</v>
      </c>
      <c r="F28" s="134"/>
      <c r="G28" s="134"/>
      <c r="H28" s="134"/>
      <c r="I28" s="134"/>
      <c r="J28" s="134"/>
      <c r="K28" s="134"/>
      <c r="L28" s="134"/>
    </row>
    <row r="29" spans="1:14" x14ac:dyDescent="0.3">
      <c r="A29" s="240" t="s">
        <v>123</v>
      </c>
      <c r="B29" s="337" t="s">
        <v>253</v>
      </c>
      <c r="C29" s="334" t="str">
        <f>IFERROR((C26/C28)*100,"")</f>
        <v/>
      </c>
      <c r="D29" s="335" t="s">
        <v>56</v>
      </c>
      <c r="F29" s="134"/>
      <c r="G29" s="134"/>
      <c r="H29" s="134"/>
      <c r="I29" s="134"/>
      <c r="J29" s="134"/>
      <c r="K29" s="134"/>
      <c r="L29" s="134"/>
    </row>
    <row r="30" spans="1:14" x14ac:dyDescent="0.3">
      <c r="A30" s="152" t="s">
        <v>102</v>
      </c>
      <c r="B30" s="336">
        <f>'2 Paste Quality'!B19</f>
        <v>0</v>
      </c>
      <c r="C30" s="338">
        <f>IFERROR(D21/(D13+D14+D15),0)</f>
        <v>0</v>
      </c>
      <c r="D30" s="301"/>
      <c r="F30" s="134"/>
      <c r="G30" s="134"/>
      <c r="H30" s="134"/>
      <c r="I30" s="134"/>
      <c r="J30" s="134"/>
      <c r="K30" s="134"/>
      <c r="L30" s="134"/>
    </row>
    <row r="31" spans="1:14" x14ac:dyDescent="0.3">
      <c r="A31" s="152" t="s">
        <v>124</v>
      </c>
      <c r="B31" s="337">
        <f>'2 Paste Quality'!B22</f>
        <v>0</v>
      </c>
      <c r="C31" s="339" t="str">
        <f>IFERROR(D14/(D13+D14+D15)*100,"")</f>
        <v/>
      </c>
      <c r="D31" s="335" t="s">
        <v>56</v>
      </c>
      <c r="F31" s="134"/>
      <c r="G31" s="134"/>
      <c r="H31" s="134"/>
      <c r="I31" s="227"/>
      <c r="J31" s="134"/>
      <c r="K31" s="134"/>
      <c r="L31" s="134"/>
    </row>
    <row r="32" spans="1:14" ht="16.2" thickBot="1" x14ac:dyDescent="0.35">
      <c r="A32" s="152" t="s">
        <v>125</v>
      </c>
      <c r="B32" s="337">
        <f>'2 Paste Quality'!B23</f>
        <v>0</v>
      </c>
      <c r="C32" s="339" t="str">
        <f>IFERROR(D15/(D13+D14+D15)*100,"")</f>
        <v/>
      </c>
      <c r="D32" s="335" t="s">
        <v>56</v>
      </c>
      <c r="F32" s="134"/>
      <c r="G32" s="134"/>
      <c r="H32" s="134"/>
      <c r="I32" s="134"/>
      <c r="J32" s="134"/>
      <c r="K32" s="134"/>
      <c r="L32" s="134"/>
    </row>
    <row r="33" spans="1:12" ht="16.2" thickBot="1" x14ac:dyDescent="0.35">
      <c r="A33" s="241" t="s">
        <v>299</v>
      </c>
      <c r="B33" s="411"/>
      <c r="C33" s="332">
        <f>D16+D17+D18+D19+D20</f>
        <v>0</v>
      </c>
      <c r="D33" s="340" t="s">
        <v>119</v>
      </c>
      <c r="F33" s="134"/>
      <c r="G33" s="134"/>
      <c r="H33" s="134"/>
      <c r="I33" s="134"/>
      <c r="J33" s="134"/>
      <c r="K33" s="134"/>
      <c r="L33" s="134"/>
    </row>
    <row r="34" spans="1:12" x14ac:dyDescent="0.3">
      <c r="B34" s="407"/>
    </row>
  </sheetData>
  <sheetProtection selectLockedCells="1"/>
  <mergeCells count="28">
    <mergeCell ref="A1:G1"/>
    <mergeCell ref="A2:I2"/>
    <mergeCell ref="A3:B3"/>
    <mergeCell ref="C3:D3"/>
    <mergeCell ref="E3:G3"/>
    <mergeCell ref="H3:I3"/>
    <mergeCell ref="A4:B4"/>
    <mergeCell ref="C4:D4"/>
    <mergeCell ref="E4:G4"/>
    <mergeCell ref="H4:I4"/>
    <mergeCell ref="A5:D5"/>
    <mergeCell ref="E5:I5"/>
    <mergeCell ref="G18:I18"/>
    <mergeCell ref="G19:I19"/>
    <mergeCell ref="G20:I20"/>
    <mergeCell ref="A6:D6"/>
    <mergeCell ref="E6:I6"/>
    <mergeCell ref="A7:D7"/>
    <mergeCell ref="E7:I7"/>
    <mergeCell ref="A8:D8"/>
    <mergeCell ref="E8:I8"/>
    <mergeCell ref="A23:B23"/>
    <mergeCell ref="A10:F10"/>
    <mergeCell ref="A11:A12"/>
    <mergeCell ref="B11:B12"/>
    <mergeCell ref="C11:C12"/>
    <mergeCell ref="D11:D12"/>
    <mergeCell ref="F11:F12"/>
  </mergeCells>
  <conditionalFormatting sqref="C29">
    <cfRule type="cellIs" priority="1" stopIfTrue="1" operator="notBetween">
      <formula>1</formula>
      <formula>500</formula>
    </cfRule>
    <cfRule type="cellIs" dxfId="9" priority="2" stopIfTrue="1" operator="lessThan">
      <formula>125</formula>
    </cfRule>
    <cfRule type="cellIs" dxfId="8" priority="3" operator="greaterThanOrEqual">
      <formula>125</formula>
    </cfRule>
  </conditionalFormatting>
  <pageMargins left="0.7" right="0.7" top="0.75" bottom="0.75" header="0.3" footer="0.3"/>
  <pageSetup scale="72" orientation="portrait" verticalDpi="1200" r:id="rId1"/>
  <colBreaks count="1" manualBreakCount="1">
    <brk id="9" max="1048575" man="1"/>
  </colBreaks>
  <ignoredErrors>
    <ignoredError sqref="F13:F15 F16:F23" evalError="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25B7-93A5-4FF1-946A-108F0EF435DE}">
  <sheetPr>
    <tabColor rgb="FFFF0000"/>
  </sheetPr>
  <dimension ref="B2:AN70"/>
  <sheetViews>
    <sheetView zoomScale="70" zoomScaleNormal="70" workbookViewId="0">
      <selection activeCell="M45" sqref="M45"/>
    </sheetView>
  </sheetViews>
  <sheetFormatPr defaultColWidth="9.33203125" defaultRowHeight="15.6" x14ac:dyDescent="0.3"/>
  <cols>
    <col min="1" max="6" width="9.33203125" style="134"/>
    <col min="7" max="7" width="10.44140625" style="134" bestFit="1" customWidth="1"/>
    <col min="8" max="8" width="9.33203125" style="134"/>
    <col min="9" max="9" width="14" style="134" bestFit="1" customWidth="1"/>
    <col min="10" max="18" width="9.33203125" style="134"/>
    <col min="19" max="20" width="10.44140625" style="134" bestFit="1" customWidth="1"/>
    <col min="21" max="22" width="9.33203125" style="134"/>
    <col min="23" max="24" width="10.44140625" style="134" bestFit="1" customWidth="1"/>
    <col min="25" max="30" width="9.33203125" style="134"/>
    <col min="31" max="31" width="9.44140625" style="134" customWidth="1"/>
    <col min="32" max="16384" width="9.33203125" style="134"/>
  </cols>
  <sheetData>
    <row r="2" spans="2:16" x14ac:dyDescent="0.3">
      <c r="B2" s="198" t="s">
        <v>126</v>
      </c>
    </row>
    <row r="3" spans="2:16" x14ac:dyDescent="0.3">
      <c r="B3" s="496"/>
      <c r="C3" s="497" t="s">
        <v>41</v>
      </c>
      <c r="D3" s="497" t="s">
        <v>42</v>
      </c>
      <c r="E3" s="497" t="s">
        <v>127</v>
      </c>
      <c r="F3" s="497"/>
      <c r="G3" s="498" t="s">
        <v>128</v>
      </c>
      <c r="H3" s="198"/>
    </row>
    <row r="4" spans="2:16" x14ac:dyDescent="0.3">
      <c r="B4" s="499" t="s">
        <v>56</v>
      </c>
      <c r="C4" s="500">
        <f>'1 Aggregate System'!C24</f>
        <v>0</v>
      </c>
      <c r="D4" s="500">
        <f>'1 Aggregate System'!E24</f>
        <v>0</v>
      </c>
      <c r="E4" s="500">
        <f>'1 Aggregate System'!G24</f>
        <v>0</v>
      </c>
      <c r="F4" s="501"/>
      <c r="G4" s="502">
        <f>SUM(C4:E4)</f>
        <v>0</v>
      </c>
    </row>
    <row r="5" spans="2:16" x14ac:dyDescent="0.3">
      <c r="O5" s="211">
        <f>'1 Aggregate System'!E22</f>
        <v>0</v>
      </c>
    </row>
    <row r="6" spans="2:16" ht="46.8" x14ac:dyDescent="0.3">
      <c r="B6" s="503"/>
      <c r="C6" s="504" t="str">
        <f>'4 Agg Analysis'!B23</f>
        <v>Sieve:</v>
      </c>
      <c r="D6" s="504" t="str">
        <f>'4 Agg Analysis'!C23</f>
        <v>mm</v>
      </c>
      <c r="E6" s="504" t="str">
        <f>'4 Agg Analysis'!D23</f>
        <v>^45</v>
      </c>
      <c r="F6" s="504" t="str">
        <f>'4 Agg Analysis'!E23</f>
        <v>Mixture</v>
      </c>
      <c r="G6" s="504" t="s">
        <v>129</v>
      </c>
      <c r="H6" s="505" t="s">
        <v>130</v>
      </c>
      <c r="I6" s="506"/>
      <c r="N6" s="506">
        <v>0.75</v>
      </c>
      <c r="O6" s="506">
        <v>1</v>
      </c>
      <c r="P6" s="506">
        <v>1.5</v>
      </c>
    </row>
    <row r="7" spans="2:16" x14ac:dyDescent="0.3">
      <c r="C7" s="507"/>
      <c r="D7" s="507"/>
      <c r="E7" s="507"/>
      <c r="F7" s="507"/>
      <c r="G7" s="507"/>
      <c r="H7" s="507"/>
      <c r="I7" s="507"/>
      <c r="N7" s="506"/>
      <c r="O7" s="506"/>
      <c r="P7" s="506"/>
    </row>
    <row r="8" spans="2:16" x14ac:dyDescent="0.3">
      <c r="C8" s="508" t="str">
        <f>'4 Agg Analysis'!B26</f>
        <v>2"</v>
      </c>
      <c r="D8" s="508">
        <f>'4 Agg Analysis'!C26</f>
        <v>50</v>
      </c>
      <c r="E8" s="509">
        <f>'4 Agg Analysis'!D26</f>
        <v>5.8148230317277987</v>
      </c>
      <c r="F8" s="510">
        <f>'4 Agg Analysis'!E26</f>
        <v>0</v>
      </c>
      <c r="G8" s="510" t="e">
        <f>HLOOKUP($O$5,$N$6:$P$20,3)</f>
        <v>#N/A</v>
      </c>
      <c r="H8" s="510" t="e">
        <f t="shared" ref="H8:H20" si="0">G8-F8</f>
        <v>#N/A</v>
      </c>
      <c r="I8" s="510" t="e">
        <f t="shared" ref="I8:I9" si="1">SIGN(H8)*H8</f>
        <v>#N/A</v>
      </c>
      <c r="N8" s="506">
        <v>100</v>
      </c>
      <c r="O8" s="506">
        <v>100</v>
      </c>
      <c r="P8" s="506">
        <v>100</v>
      </c>
    </row>
    <row r="9" spans="2:16" x14ac:dyDescent="0.3">
      <c r="C9" s="508" t="str">
        <f>'4 Agg Analysis'!B27</f>
        <v>1-1/2"</v>
      </c>
      <c r="D9" s="508">
        <f>'4 Agg Analysis'!C27</f>
        <v>37.5</v>
      </c>
      <c r="E9" s="509">
        <f>'4 Agg Analysis'!D27</f>
        <v>5.1087431744234335</v>
      </c>
      <c r="F9" s="510">
        <f>'4 Agg Analysis'!E27</f>
        <v>0</v>
      </c>
      <c r="G9" s="510" t="e">
        <f>HLOOKUP($O$5,$N$6:$P$20,4)</f>
        <v>#N/A</v>
      </c>
      <c r="H9" s="510" t="e">
        <f t="shared" si="0"/>
        <v>#N/A</v>
      </c>
      <c r="I9" s="510" t="e">
        <f t="shared" si="1"/>
        <v>#N/A</v>
      </c>
      <c r="N9" s="506">
        <v>100</v>
      </c>
      <c r="O9" s="506">
        <v>100</v>
      </c>
      <c r="P9" s="506">
        <v>100</v>
      </c>
    </row>
    <row r="10" spans="2:16" x14ac:dyDescent="0.3">
      <c r="C10" s="508" t="str">
        <f>'4 Agg Analysis'!B28</f>
        <v>1"</v>
      </c>
      <c r="D10" s="508">
        <f>'4 Agg Analysis'!C28</f>
        <v>25</v>
      </c>
      <c r="E10" s="509">
        <f>'4 Agg Analysis'!D28</f>
        <v>4.2566996126039234</v>
      </c>
      <c r="F10" s="510">
        <f>'4 Agg Analysis'!E28</f>
        <v>0</v>
      </c>
      <c r="G10" s="510" t="e">
        <f>HLOOKUP($O$5,$N$6:$P$20,5)</f>
        <v>#N/A</v>
      </c>
      <c r="H10" s="510" t="e">
        <f t="shared" si="0"/>
        <v>#N/A</v>
      </c>
      <c r="I10" s="510" t="e">
        <f>SIGN(H10)*H10</f>
        <v>#N/A</v>
      </c>
      <c r="N10" s="506">
        <v>100</v>
      </c>
      <c r="O10" s="511">
        <v>100</v>
      </c>
      <c r="P10" s="511">
        <f>(E10-$E$20)/($E$9-$E$20)*100</f>
        <v>82.238042728011123</v>
      </c>
    </row>
    <row r="11" spans="2:16" x14ac:dyDescent="0.3">
      <c r="C11" s="508" t="str">
        <f>'4 Agg Analysis'!B29</f>
        <v>3/4"</v>
      </c>
      <c r="D11" s="508">
        <f>'4 Agg Analysis'!C29</f>
        <v>19.5</v>
      </c>
      <c r="E11" s="509">
        <f>'4 Agg Analysis'!D29</f>
        <v>3.8064100829378442</v>
      </c>
      <c r="F11" s="510">
        <f>'4 Agg Analysis'!E29</f>
        <v>0</v>
      </c>
      <c r="G11" s="510" t="e">
        <f>HLOOKUP($O$5,$N$6:$P$20,6)</f>
        <v>#N/A</v>
      </c>
      <c r="H11" s="510" t="e">
        <f t="shared" si="0"/>
        <v>#N/A</v>
      </c>
      <c r="I11" s="510" t="e">
        <f t="shared" ref="I11:I20" si="2">SIGN(H11)*H11</f>
        <v>#N/A</v>
      </c>
      <c r="N11" s="506">
        <v>100</v>
      </c>
      <c r="O11" s="511">
        <f>(E11-$E$20)/($E$10-$E$20)*100</f>
        <v>88.585730958318806</v>
      </c>
      <c r="P11" s="511">
        <f t="shared" ref="P11:P20" si="3">(E11-$E$20)/($E$9-$E$20)*100</f>
        <v>72.851171276423216</v>
      </c>
    </row>
    <row r="12" spans="2:16" x14ac:dyDescent="0.3">
      <c r="C12" s="508" t="str">
        <f>'4 Agg Analysis'!B30</f>
        <v>1/2"</v>
      </c>
      <c r="D12" s="508">
        <f>'4 Agg Analysis'!C30</f>
        <v>12.5</v>
      </c>
      <c r="E12" s="509">
        <f>'4 Agg Analysis'!D30</f>
        <v>3.116086507375345</v>
      </c>
      <c r="F12" s="510">
        <f>'4 Agg Analysis'!E30</f>
        <v>0</v>
      </c>
      <c r="G12" s="510" t="e">
        <f>HLOOKUP($O$5,$N$6:$P$20,7)</f>
        <v>#N/A</v>
      </c>
      <c r="H12" s="510" t="e">
        <f t="shared" si="0"/>
        <v>#N/A</v>
      </c>
      <c r="I12" s="510" t="e">
        <f t="shared" si="2"/>
        <v>#N/A</v>
      </c>
      <c r="N12" s="511">
        <f>(E12-$E$20)/($E$11-$E$20)*100</f>
        <v>80.246448516205689</v>
      </c>
      <c r="O12" s="511">
        <f t="shared" ref="O12:O20" si="4">(E12-$E$20)/($E$10-$E$20)*100</f>
        <v>71.086902986171779</v>
      </c>
      <c r="P12" s="511">
        <f t="shared" si="3"/>
        <v>58.460477651787777</v>
      </c>
    </row>
    <row r="13" spans="2:16" x14ac:dyDescent="0.3">
      <c r="C13" s="508" t="str">
        <f>'4 Agg Analysis'!B31</f>
        <v>3/8"</v>
      </c>
      <c r="D13" s="508">
        <f>'4 Agg Analysis'!C31</f>
        <v>9.5</v>
      </c>
      <c r="E13" s="509">
        <f>'4 Agg Analysis'!D31</f>
        <v>2.754074108566122</v>
      </c>
      <c r="F13" s="510">
        <f>'4 Agg Analysis'!E31</f>
        <v>0</v>
      </c>
      <c r="G13" s="510" t="e">
        <f>HLOOKUP($O$5,$N$6:$P$20,8)</f>
        <v>#N/A</v>
      </c>
      <c r="H13" s="510" t="e">
        <f t="shared" si="0"/>
        <v>#N/A</v>
      </c>
      <c r="I13" s="510" t="e">
        <f t="shared" si="2"/>
        <v>#N/A</v>
      </c>
      <c r="N13" s="511">
        <f t="shared" ref="N13:N20" si="5">(E13-$E$20)/($E$11-$E$20)*100</f>
        <v>69.887493946498353</v>
      </c>
      <c r="O13" s="511">
        <f t="shared" si="4"/>
        <v>61.910347360956365</v>
      </c>
      <c r="P13" s="511">
        <f t="shared" si="3"/>
        <v>50.913857915763408</v>
      </c>
    </row>
    <row r="14" spans="2:16" x14ac:dyDescent="0.3">
      <c r="C14" s="508" t="str">
        <f>'4 Agg Analysis'!B32</f>
        <v># 4</v>
      </c>
      <c r="D14" s="508">
        <f>'4 Agg Analysis'!C32</f>
        <v>4.75</v>
      </c>
      <c r="E14" s="509">
        <f>'4 Agg Analysis'!D32</f>
        <v>2.0161002539629291</v>
      </c>
      <c r="F14" s="510">
        <f>'4 Agg Analysis'!E32</f>
        <v>0</v>
      </c>
      <c r="G14" s="510" t="e">
        <f>HLOOKUP($O$5,$N$6:$P$20,9)</f>
        <v>#N/A</v>
      </c>
      <c r="H14" s="510" t="e">
        <f t="shared" si="0"/>
        <v>#N/A</v>
      </c>
      <c r="I14" s="510" t="e">
        <f t="shared" si="2"/>
        <v>#N/A</v>
      </c>
      <c r="N14" s="511">
        <f t="shared" si="5"/>
        <v>48.770433705987244</v>
      </c>
      <c r="O14" s="511">
        <f t="shared" si="4"/>
        <v>43.203645189991093</v>
      </c>
      <c r="P14" s="511">
        <f t="shared" si="3"/>
        <v>35.529832191403202</v>
      </c>
    </row>
    <row r="15" spans="2:16" x14ac:dyDescent="0.3">
      <c r="C15" s="508" t="str">
        <f>'4 Agg Analysis'!B33</f>
        <v># 8</v>
      </c>
      <c r="D15" s="508">
        <f>'4 Agg Analysis'!C33</f>
        <v>2.36</v>
      </c>
      <c r="E15" s="509">
        <f>'4 Agg Analysis'!D33</f>
        <v>1.4716698795820382</v>
      </c>
      <c r="F15" s="510">
        <f>'4 Agg Analysis'!E33</f>
        <v>0</v>
      </c>
      <c r="G15" s="510" t="e">
        <f>HLOOKUP($O$5,$N$6:$P$20,10)</f>
        <v>#N/A</v>
      </c>
      <c r="H15" s="510" t="e">
        <f t="shared" si="0"/>
        <v>#N/A</v>
      </c>
      <c r="I15" s="510" t="e">
        <f t="shared" si="2"/>
        <v>#N/A</v>
      </c>
      <c r="N15" s="511">
        <f t="shared" si="5"/>
        <v>33.191603994266536</v>
      </c>
      <c r="O15" s="511">
        <f t="shared" si="4"/>
        <v>29.403025015111549</v>
      </c>
      <c r="P15" s="511">
        <f t="shared" si="3"/>
        <v>24.180472275255237</v>
      </c>
    </row>
    <row r="16" spans="2:16" x14ac:dyDescent="0.3">
      <c r="C16" s="508" t="str">
        <f>'4 Agg Analysis'!B34</f>
        <v># 16</v>
      </c>
      <c r="D16" s="508">
        <f>'4 Agg Analysis'!C34</f>
        <v>1.18</v>
      </c>
      <c r="E16" s="509">
        <f>'4 Agg Analysis'!D34</f>
        <v>1.0773254099250416</v>
      </c>
      <c r="F16" s="510">
        <f>'4 Agg Analysis'!E34</f>
        <v>0</v>
      </c>
      <c r="G16" s="510" t="e">
        <f>HLOOKUP($O$5,$N$6:$P$20,11)</f>
        <v>#N/A</v>
      </c>
      <c r="H16" s="510" t="e">
        <f t="shared" si="0"/>
        <v>#N/A</v>
      </c>
      <c r="I16" s="510" t="e">
        <f t="shared" si="2"/>
        <v>#N/A</v>
      </c>
      <c r="N16" s="511">
        <f t="shared" si="5"/>
        <v>21.90746991645856</v>
      </c>
      <c r="O16" s="511">
        <f t="shared" si="4"/>
        <v>19.406892359968605</v>
      </c>
      <c r="P16" s="511">
        <f t="shared" si="3"/>
        <v>15.959848431170112</v>
      </c>
    </row>
    <row r="17" spans="2:40" x14ac:dyDescent="0.3">
      <c r="C17" s="508" t="str">
        <f>'4 Agg Analysis'!B35</f>
        <v># 30</v>
      </c>
      <c r="D17" s="508">
        <f>'4 Agg Analysis'!C35</f>
        <v>0.6</v>
      </c>
      <c r="E17" s="509">
        <f>'4 Agg Analysis'!D35</f>
        <v>0.79463568224020453</v>
      </c>
      <c r="F17" s="510">
        <f>'4 Agg Analysis'!E35</f>
        <v>0</v>
      </c>
      <c r="G17" s="510" t="e">
        <f>HLOOKUP($O$5,$N$6:$P$20,12)</f>
        <v>#N/A</v>
      </c>
      <c r="H17" s="510" t="e">
        <f t="shared" si="0"/>
        <v>#N/A</v>
      </c>
      <c r="I17" s="510" t="e">
        <f t="shared" si="2"/>
        <v>#N/A</v>
      </c>
      <c r="N17" s="511">
        <f t="shared" si="5"/>
        <v>13.818326958807015</v>
      </c>
      <c r="O17" s="511">
        <f t="shared" si="4"/>
        <v>12.24106594266962</v>
      </c>
      <c r="P17" s="511">
        <f t="shared" si="3"/>
        <v>10.066813040296662</v>
      </c>
    </row>
    <row r="18" spans="2:40" x14ac:dyDescent="0.3">
      <c r="C18" s="508" t="str">
        <f>'4 Agg Analysis'!B36</f>
        <v># 50</v>
      </c>
      <c r="D18" s="508">
        <f>'4 Agg Analysis'!C36</f>
        <v>0.3</v>
      </c>
      <c r="E18" s="509">
        <f>'4 Agg Analysis'!D36</f>
        <v>0.58170736792793831</v>
      </c>
      <c r="F18" s="510">
        <f>'4 Agg Analysis'!E36</f>
        <v>0</v>
      </c>
      <c r="G18" s="510" t="e">
        <f>HLOOKUP($O$5,$N$6:$P$20,13)</f>
        <v>#N/A</v>
      </c>
      <c r="H18" s="510" t="e">
        <f t="shared" si="0"/>
        <v>#N/A</v>
      </c>
      <c r="I18" s="510" t="e">
        <f t="shared" si="2"/>
        <v>#N/A</v>
      </c>
      <c r="N18" s="511">
        <f t="shared" si="5"/>
        <v>7.7254010208544814</v>
      </c>
      <c r="O18" s="511">
        <f t="shared" si="4"/>
        <v>6.843602963785365</v>
      </c>
      <c r="P18" s="511">
        <f t="shared" si="3"/>
        <v>5.6280451294932448</v>
      </c>
    </row>
    <row r="19" spans="2:40" x14ac:dyDescent="0.3">
      <c r="C19" s="508" t="str">
        <f>'4 Agg Analysis'!B37</f>
        <v># 100</v>
      </c>
      <c r="D19" s="508">
        <f>'4 Agg Analysis'!C37</f>
        <v>0.15</v>
      </c>
      <c r="E19" s="509">
        <f>'4 Agg Analysis'!D37</f>
        <v>0.42583471830473674</v>
      </c>
      <c r="F19" s="510">
        <f>'4 Agg Analysis'!E37</f>
        <v>0</v>
      </c>
      <c r="G19" s="510" t="e">
        <f>HLOOKUP($O$5,$N$6:$P$20,14)</f>
        <v>#N/A</v>
      </c>
      <c r="H19" s="510" t="e">
        <f t="shared" si="0"/>
        <v>#N/A</v>
      </c>
      <c r="I19" s="510" t="e">
        <f t="shared" si="2"/>
        <v>#N/A</v>
      </c>
      <c r="N19" s="511">
        <f t="shared" si="5"/>
        <v>3.2651181647482868</v>
      </c>
      <c r="O19" s="511">
        <f t="shared" si="4"/>
        <v>2.8924287928951138</v>
      </c>
      <c r="P19" s="511">
        <f t="shared" si="3"/>
        <v>2.3786768265783804</v>
      </c>
    </row>
    <row r="20" spans="2:40" x14ac:dyDescent="0.3">
      <c r="C20" s="512" t="str">
        <f>'4 Agg Analysis'!B38</f>
        <v># 200</v>
      </c>
      <c r="D20" s="512">
        <f>'4 Agg Analysis'!C38</f>
        <v>7.4999999999999997E-2</v>
      </c>
      <c r="E20" s="513">
        <f>'4 Agg Analysis'!D38</f>
        <v>0.31172925995349998</v>
      </c>
      <c r="F20" s="514">
        <f>'4 Agg Analysis'!E38</f>
        <v>0</v>
      </c>
      <c r="G20" s="510" t="e">
        <f>HLOOKUP($O$5,$N$6:$P$20,15)</f>
        <v>#N/A</v>
      </c>
      <c r="H20" s="514" t="e">
        <f t="shared" si="0"/>
        <v>#N/A</v>
      </c>
      <c r="I20" s="514" t="e">
        <f t="shared" si="2"/>
        <v>#N/A</v>
      </c>
      <c r="N20" s="511">
        <f t="shared" si="5"/>
        <v>0</v>
      </c>
      <c r="O20" s="511">
        <f t="shared" si="4"/>
        <v>0</v>
      </c>
      <c r="P20" s="511">
        <f t="shared" si="3"/>
        <v>0</v>
      </c>
    </row>
    <row r="21" spans="2:40" x14ac:dyDescent="0.3">
      <c r="C21" s="512"/>
      <c r="D21" s="512"/>
      <c r="E21" s="512"/>
      <c r="F21" s="512"/>
      <c r="G21" s="506"/>
      <c r="H21" s="514" t="e">
        <f>SUM(H8:H20)</f>
        <v>#N/A</v>
      </c>
      <c r="I21" s="514" t="e">
        <f>SUM(I8:I20)</f>
        <v>#N/A</v>
      </c>
      <c r="N21" s="506"/>
      <c r="O21" s="506"/>
      <c r="P21" s="506"/>
    </row>
    <row r="22" spans="2:40" x14ac:dyDescent="0.3">
      <c r="Z22" s="507"/>
      <c r="AA22" s="515" t="s">
        <v>41</v>
      </c>
      <c r="AB22" s="516" t="s">
        <v>131</v>
      </c>
      <c r="AC22" s="515" t="s">
        <v>42</v>
      </c>
      <c r="AD22" s="516" t="s">
        <v>131</v>
      </c>
      <c r="AE22" s="515" t="s">
        <v>132</v>
      </c>
      <c r="AF22" s="516" t="s">
        <v>131</v>
      </c>
      <c r="AG22" s="515" t="s">
        <v>132</v>
      </c>
      <c r="AH22" s="516" t="s">
        <v>131</v>
      </c>
      <c r="AI22" s="515" t="s">
        <v>132</v>
      </c>
      <c r="AJ22" s="516" t="s">
        <v>131</v>
      </c>
      <c r="AK22" s="515" t="s">
        <v>128</v>
      </c>
      <c r="AL22" s="517" t="s">
        <v>56</v>
      </c>
      <c r="AM22" s="517" t="s">
        <v>133</v>
      </c>
      <c r="AN22" s="516" t="s">
        <v>134</v>
      </c>
    </row>
    <row r="23" spans="2:40" x14ac:dyDescent="0.3">
      <c r="B23" s="515" t="s">
        <v>53</v>
      </c>
      <c r="C23" s="516" t="s">
        <v>135</v>
      </c>
      <c r="D23" s="507" t="s">
        <v>136</v>
      </c>
      <c r="E23" s="507" t="s">
        <v>137</v>
      </c>
      <c r="F23" s="515" t="s">
        <v>138</v>
      </c>
      <c r="G23" s="516"/>
      <c r="H23" s="515" t="s">
        <v>139</v>
      </c>
      <c r="I23" s="516" t="s">
        <v>139</v>
      </c>
      <c r="J23" s="515" t="s">
        <v>140</v>
      </c>
      <c r="K23" s="516"/>
      <c r="L23" s="515" t="s">
        <v>141</v>
      </c>
      <c r="M23" s="516"/>
      <c r="N23" s="515" t="s">
        <v>142</v>
      </c>
      <c r="O23" s="516"/>
      <c r="P23" s="515" t="s">
        <v>143</v>
      </c>
      <c r="Q23" s="516"/>
      <c r="S23" s="518" t="s">
        <v>144</v>
      </c>
      <c r="T23" s="519"/>
      <c r="U23" s="520"/>
      <c r="V23" s="515"/>
      <c r="W23" s="517"/>
      <c r="X23" s="516"/>
      <c r="Z23" s="508" t="s">
        <v>53</v>
      </c>
      <c r="AA23" s="521">
        <f>'1 Aggregate System'!C24</f>
        <v>0</v>
      </c>
      <c r="AB23" s="522"/>
      <c r="AC23" s="521">
        <f>'1 Aggregate System'!E24</f>
        <v>0</v>
      </c>
      <c r="AD23" s="522"/>
      <c r="AE23" s="521">
        <f>'1 Aggregate System'!G24</f>
        <v>0</v>
      </c>
      <c r="AF23" s="522"/>
      <c r="AG23" s="521">
        <f>'1 Aggregate System'!I24</f>
        <v>0</v>
      </c>
      <c r="AH23" s="522"/>
      <c r="AI23" s="521">
        <f>'1 Aggregate System'!K24</f>
        <v>0</v>
      </c>
      <c r="AJ23" s="522"/>
      <c r="AK23" s="521" t="s">
        <v>131</v>
      </c>
      <c r="AL23" s="134" t="s">
        <v>131</v>
      </c>
      <c r="AM23" s="134" t="s">
        <v>46</v>
      </c>
      <c r="AN23" s="522" t="s">
        <v>131</v>
      </c>
    </row>
    <row r="24" spans="2:40" x14ac:dyDescent="0.3">
      <c r="B24" s="521"/>
      <c r="C24" s="522"/>
      <c r="D24" s="508"/>
      <c r="E24" s="508"/>
      <c r="F24" s="521"/>
      <c r="G24" s="522"/>
      <c r="H24" s="521" t="s">
        <v>145</v>
      </c>
      <c r="I24" s="522" t="s">
        <v>146</v>
      </c>
      <c r="J24" s="521"/>
      <c r="K24" s="522"/>
      <c r="L24" s="521"/>
      <c r="M24" s="522"/>
      <c r="N24" s="521"/>
      <c r="O24" s="522"/>
      <c r="P24" s="521"/>
      <c r="Q24" s="522"/>
      <c r="S24" s="521" t="s">
        <v>137</v>
      </c>
      <c r="T24" s="134" t="s">
        <v>147</v>
      </c>
      <c r="U24" s="522" t="s">
        <v>148</v>
      </c>
      <c r="V24" s="521" t="s">
        <v>149</v>
      </c>
      <c r="W24" s="134" t="s">
        <v>150</v>
      </c>
      <c r="X24" s="522"/>
      <c r="Z24" s="508"/>
      <c r="AA24" s="523">
        <f>'1 Aggregate System'!G12</f>
        <v>0</v>
      </c>
      <c r="AB24" s="522"/>
      <c r="AC24" s="523">
        <f>'1 Aggregate System'!G13</f>
        <v>0</v>
      </c>
      <c r="AD24" s="522"/>
      <c r="AE24" s="523">
        <f>'1 Aggregate System'!G14</f>
        <v>0</v>
      </c>
      <c r="AF24" s="522"/>
      <c r="AG24" s="523">
        <f>'1 Aggregate System'!G15</f>
        <v>1</v>
      </c>
      <c r="AH24" s="522"/>
      <c r="AI24" s="523">
        <f>'1 Aggregate System'!G16</f>
        <v>1</v>
      </c>
      <c r="AJ24" s="522"/>
      <c r="AK24" s="521"/>
      <c r="AN24" s="524"/>
    </row>
    <row r="25" spans="2:40" x14ac:dyDescent="0.3">
      <c r="B25" s="521" t="s">
        <v>151</v>
      </c>
      <c r="C25" s="522">
        <v>75</v>
      </c>
      <c r="D25" s="509">
        <f t="shared" ref="D25:D38" si="6">+C25^0.45</f>
        <v>6.9787488376816533</v>
      </c>
      <c r="E25" s="525"/>
      <c r="F25" s="521"/>
      <c r="G25" s="522"/>
      <c r="H25" s="521"/>
      <c r="I25" s="522"/>
      <c r="J25" s="521"/>
      <c r="K25" s="522"/>
      <c r="L25" s="521"/>
      <c r="M25" s="522"/>
      <c r="N25" s="521"/>
      <c r="O25" s="522"/>
      <c r="P25" s="521"/>
      <c r="Q25" s="522"/>
      <c r="S25" s="521"/>
      <c r="U25" s="522"/>
      <c r="V25" s="521"/>
      <c r="X25" s="522"/>
      <c r="Z25" s="508"/>
      <c r="AA25" s="521"/>
      <c r="AB25" s="522"/>
      <c r="AC25" s="521"/>
      <c r="AD25" s="522"/>
      <c r="AE25" s="521"/>
      <c r="AF25" s="522"/>
      <c r="AG25" s="521"/>
      <c r="AH25" s="522"/>
      <c r="AI25" s="521"/>
      <c r="AJ25" s="522"/>
      <c r="AK25" s="521"/>
      <c r="AN25" s="524"/>
    </row>
    <row r="26" spans="2:40" x14ac:dyDescent="0.3">
      <c r="B26" s="521" t="s">
        <v>57</v>
      </c>
      <c r="C26" s="522">
        <v>50</v>
      </c>
      <c r="D26" s="509">
        <f t="shared" si="6"/>
        <v>5.8148230317277987</v>
      </c>
      <c r="E26" s="525">
        <f>+'1 Aggregate System'!L27</f>
        <v>0</v>
      </c>
      <c r="F26" s="521"/>
      <c r="G26" s="522"/>
      <c r="H26" s="526">
        <v>100</v>
      </c>
      <c r="I26" s="527">
        <v>100</v>
      </c>
      <c r="J26" s="521">
        <v>100</v>
      </c>
      <c r="K26" s="522">
        <v>100</v>
      </c>
      <c r="L26" s="521">
        <v>100</v>
      </c>
      <c r="M26" s="522">
        <v>100</v>
      </c>
      <c r="N26" s="521">
        <v>0</v>
      </c>
      <c r="O26" s="528">
        <f>D26</f>
        <v>5.8148230317277987</v>
      </c>
      <c r="P26" s="529">
        <v>0</v>
      </c>
      <c r="Q26" s="530"/>
      <c r="S26" s="531">
        <f>AN26</f>
        <v>0</v>
      </c>
      <c r="U26" s="522"/>
      <c r="V26" s="521"/>
      <c r="X26" s="522"/>
      <c r="Z26" s="508" t="s">
        <v>57</v>
      </c>
      <c r="AA26" s="531">
        <f>'1 Aggregate System'!C27</f>
        <v>0</v>
      </c>
      <c r="AB26" s="532" t="e">
        <f>AA26/AA$24</f>
        <v>#DIV/0!</v>
      </c>
      <c r="AC26" s="531">
        <f>'1 Aggregate System'!E27</f>
        <v>0</v>
      </c>
      <c r="AD26" s="532" t="e">
        <f>AC26/AC$24</f>
        <v>#DIV/0!</v>
      </c>
      <c r="AE26" s="531">
        <f>'1 Aggregate System'!G27</f>
        <v>0</v>
      </c>
      <c r="AF26" s="532" t="e">
        <f>AE26/AE$24</f>
        <v>#DIV/0!</v>
      </c>
      <c r="AG26" s="531">
        <f>'1 Aggregate System'!I27</f>
        <v>0</v>
      </c>
      <c r="AH26" s="532">
        <f>AG26/AG$24</f>
        <v>0</v>
      </c>
      <c r="AI26" s="531">
        <f>'1 Aggregate System'!K27</f>
        <v>0</v>
      </c>
      <c r="AJ26" s="532">
        <f>AI26/AI$24</f>
        <v>0</v>
      </c>
      <c r="AK26" s="523" t="e">
        <f>AB26+AD26+AF26+AH26+AJ26</f>
        <v>#DIV/0!</v>
      </c>
      <c r="AL26" s="533" t="e">
        <f>AK26/$AK$26*100</f>
        <v>#DIV/0!</v>
      </c>
      <c r="AM26" s="533" t="e">
        <f>100-AL26</f>
        <v>#DIV/0!</v>
      </c>
      <c r="AN26" s="524">
        <v>0</v>
      </c>
    </row>
    <row r="27" spans="2:40" x14ac:dyDescent="0.3">
      <c r="B27" s="521" t="s">
        <v>152</v>
      </c>
      <c r="C27" s="522">
        <v>37.5</v>
      </c>
      <c r="D27" s="509">
        <f t="shared" si="6"/>
        <v>5.1087431744234335</v>
      </c>
      <c r="E27" s="525">
        <f>+'1 Aggregate System'!L28</f>
        <v>0</v>
      </c>
      <c r="F27" s="521"/>
      <c r="G27" s="522"/>
      <c r="H27" s="526">
        <v>100</v>
      </c>
      <c r="I27" s="527">
        <v>100</v>
      </c>
      <c r="J27" s="521">
        <v>100</v>
      </c>
      <c r="K27" s="522">
        <v>100</v>
      </c>
      <c r="L27" s="521">
        <v>100</v>
      </c>
      <c r="M27" s="522">
        <v>100</v>
      </c>
      <c r="N27" s="521"/>
      <c r="O27" s="522"/>
      <c r="P27" s="529">
        <v>5</v>
      </c>
      <c r="Q27" s="530">
        <v>0</v>
      </c>
      <c r="S27" s="531" t="str">
        <f>AN27</f>
        <v/>
      </c>
      <c r="T27" s="533" t="e">
        <f>IF(S27&gt;P27,S27-P27,0)</f>
        <v>#VALUE!</v>
      </c>
      <c r="U27" s="522">
        <f>IF(S27&lt;Q27,Q27-S27,0)</f>
        <v>0</v>
      </c>
      <c r="V27" s="531">
        <f>AVERAGE(P27:Q27)</f>
        <v>2.5</v>
      </c>
      <c r="X27" s="522"/>
      <c r="Z27" s="508" t="s">
        <v>152</v>
      </c>
      <c r="AA27" s="531">
        <f>'1 Aggregate System'!C28</f>
        <v>0</v>
      </c>
      <c r="AB27" s="532" t="e">
        <f t="shared" ref="AB27:AD38" si="7">AA27/AA$24</f>
        <v>#DIV/0!</v>
      </c>
      <c r="AC27" s="531">
        <f>'1 Aggregate System'!E28</f>
        <v>0</v>
      </c>
      <c r="AD27" s="532" t="e">
        <f t="shared" si="7"/>
        <v>#DIV/0!</v>
      </c>
      <c r="AE27" s="531">
        <f>'1 Aggregate System'!G28</f>
        <v>0</v>
      </c>
      <c r="AF27" s="532" t="e">
        <f t="shared" ref="AF27:AF38" si="8">AE27/AE$24</f>
        <v>#DIV/0!</v>
      </c>
      <c r="AG27" s="531">
        <f>'1 Aggregate System'!I28</f>
        <v>0</v>
      </c>
      <c r="AH27" s="532">
        <f t="shared" ref="AH27:AH38" si="9">AG27/AG$24</f>
        <v>0</v>
      </c>
      <c r="AI27" s="531">
        <f>'1 Aggregate System'!K28</f>
        <v>0</v>
      </c>
      <c r="AJ27" s="532">
        <f t="shared" ref="AJ27:AJ38" si="10">AI27/AI$24</f>
        <v>0</v>
      </c>
      <c r="AK27" s="523" t="e">
        <f t="shared" ref="AK27:AK38" si="11">AB27+AD27+AF27+AH27+AJ27</f>
        <v>#DIV/0!</v>
      </c>
      <c r="AL27" s="533" t="e">
        <f t="shared" ref="AL27:AL38" si="12">AK27/$AK$26*100</f>
        <v>#DIV/0!</v>
      </c>
      <c r="AM27" s="533" t="e">
        <f t="shared" ref="AM27:AM38" si="13">100-AL27</f>
        <v>#DIV/0!</v>
      </c>
      <c r="AN27" s="524" t="str">
        <f>IFERROR((AM27-AM26),"")</f>
        <v/>
      </c>
    </row>
    <row r="28" spans="2:40" x14ac:dyDescent="0.3">
      <c r="B28" s="521" t="s">
        <v>59</v>
      </c>
      <c r="C28" s="522">
        <v>25</v>
      </c>
      <c r="D28" s="509">
        <f t="shared" si="6"/>
        <v>4.2566996126039234</v>
      </c>
      <c r="E28" s="525">
        <f>+'1 Aggregate System'!L29</f>
        <v>0</v>
      </c>
      <c r="F28" s="521"/>
      <c r="G28" s="522">
        <v>0</v>
      </c>
      <c r="H28" s="526">
        <v>100</v>
      </c>
      <c r="I28" s="527">
        <v>100</v>
      </c>
      <c r="J28" s="521">
        <v>100</v>
      </c>
      <c r="K28" s="522">
        <v>100</v>
      </c>
      <c r="L28" s="521">
        <v>100</v>
      </c>
      <c r="M28" s="522">
        <v>100</v>
      </c>
      <c r="N28" s="521">
        <v>0</v>
      </c>
      <c r="O28" s="528">
        <f>D28</f>
        <v>4.2566996126039234</v>
      </c>
      <c r="P28" s="529">
        <v>16</v>
      </c>
      <c r="Q28" s="530">
        <v>0</v>
      </c>
      <c r="S28" s="531" t="str">
        <f t="shared" ref="S28:S38" si="14">AN28</f>
        <v/>
      </c>
      <c r="T28" s="533" t="e">
        <f>IF(S28&gt;P28,S28-P28,0)</f>
        <v>#VALUE!</v>
      </c>
      <c r="U28" s="522">
        <f>IF(S28&lt;Q28,Q28-S28,0)</f>
        <v>0</v>
      </c>
      <c r="V28" s="531">
        <f t="shared" ref="V28:V38" si="15">AVERAGE(P28:Q28)</f>
        <v>8</v>
      </c>
      <c r="W28" s="533" t="e">
        <f>V28-S28</f>
        <v>#VALUE!</v>
      </c>
      <c r="X28" s="524" t="e">
        <f>W28^2</f>
        <v>#VALUE!</v>
      </c>
      <c r="Z28" s="508" t="s">
        <v>59</v>
      </c>
      <c r="AA28" s="531">
        <f>'1 Aggregate System'!C29</f>
        <v>0</v>
      </c>
      <c r="AB28" s="532" t="e">
        <f t="shared" si="7"/>
        <v>#DIV/0!</v>
      </c>
      <c r="AC28" s="531">
        <f>'1 Aggregate System'!E29</f>
        <v>0</v>
      </c>
      <c r="AD28" s="532" t="e">
        <f t="shared" si="7"/>
        <v>#DIV/0!</v>
      </c>
      <c r="AE28" s="531">
        <f>'1 Aggregate System'!G29</f>
        <v>0</v>
      </c>
      <c r="AF28" s="532" t="e">
        <f t="shared" si="8"/>
        <v>#DIV/0!</v>
      </c>
      <c r="AG28" s="531">
        <f>'1 Aggregate System'!I29</f>
        <v>0</v>
      </c>
      <c r="AH28" s="532">
        <f t="shared" si="9"/>
        <v>0</v>
      </c>
      <c r="AI28" s="531">
        <f>'1 Aggregate System'!K29</f>
        <v>0</v>
      </c>
      <c r="AJ28" s="532">
        <f t="shared" si="10"/>
        <v>0</v>
      </c>
      <c r="AK28" s="523" t="e">
        <f t="shared" si="11"/>
        <v>#DIV/0!</v>
      </c>
      <c r="AL28" s="533" t="e">
        <f t="shared" si="12"/>
        <v>#DIV/0!</v>
      </c>
      <c r="AM28" s="533" t="e">
        <f t="shared" si="13"/>
        <v>#DIV/0!</v>
      </c>
      <c r="AN28" s="524" t="str">
        <f t="shared" ref="AN28:AN38" si="16">IFERROR((AM28-AM27),"")</f>
        <v/>
      </c>
    </row>
    <row r="29" spans="2:40" x14ac:dyDescent="0.3">
      <c r="B29" s="521" t="s">
        <v>60</v>
      </c>
      <c r="C29" s="522">
        <v>19.5</v>
      </c>
      <c r="D29" s="509">
        <f t="shared" si="6"/>
        <v>3.8064100829378442</v>
      </c>
      <c r="E29" s="525">
        <f>+'1 Aggregate System'!L30</f>
        <v>0</v>
      </c>
      <c r="F29" s="521">
        <v>0</v>
      </c>
      <c r="G29" s="522">
        <v>18</v>
      </c>
      <c r="H29" s="526">
        <v>100</v>
      </c>
      <c r="I29" s="527">
        <v>100</v>
      </c>
      <c r="J29" s="521">
        <v>80</v>
      </c>
      <c r="K29" s="522">
        <v>88</v>
      </c>
      <c r="L29" s="521">
        <v>88</v>
      </c>
      <c r="M29" s="522">
        <v>98</v>
      </c>
      <c r="N29" s="521"/>
      <c r="O29" s="522"/>
      <c r="P29" s="529">
        <v>20</v>
      </c>
      <c r="Q29" s="530">
        <v>0</v>
      </c>
      <c r="S29" s="531" t="str">
        <f t="shared" si="14"/>
        <v/>
      </c>
      <c r="T29" s="533" t="e">
        <f t="shared" ref="T29:T38" si="17">IF(S29&gt;P29,S29-P29,0)</f>
        <v>#VALUE!</v>
      </c>
      <c r="U29" s="522">
        <f t="shared" ref="U29:U38" si="18">IF(S29&lt;Q29,Q29-S29,0)</f>
        <v>0</v>
      </c>
      <c r="V29" s="531">
        <f t="shared" si="15"/>
        <v>10</v>
      </c>
      <c r="W29" s="533" t="e">
        <f t="shared" ref="W29:W38" si="19">V29-S29</f>
        <v>#VALUE!</v>
      </c>
      <c r="X29" s="524" t="e">
        <f t="shared" ref="X29:X38" si="20">W29^2</f>
        <v>#VALUE!</v>
      </c>
      <c r="Z29" s="508" t="s">
        <v>60</v>
      </c>
      <c r="AA29" s="531">
        <f>'1 Aggregate System'!C30</f>
        <v>0</v>
      </c>
      <c r="AB29" s="532" t="e">
        <f t="shared" si="7"/>
        <v>#DIV/0!</v>
      </c>
      <c r="AC29" s="531">
        <f>'1 Aggregate System'!E30</f>
        <v>0</v>
      </c>
      <c r="AD29" s="532" t="e">
        <f t="shared" si="7"/>
        <v>#DIV/0!</v>
      </c>
      <c r="AE29" s="531">
        <f>'1 Aggregate System'!G30</f>
        <v>0</v>
      </c>
      <c r="AF29" s="532" t="e">
        <f t="shared" si="8"/>
        <v>#DIV/0!</v>
      </c>
      <c r="AG29" s="531">
        <f>'1 Aggregate System'!I30</f>
        <v>0</v>
      </c>
      <c r="AH29" s="532">
        <f t="shared" si="9"/>
        <v>0</v>
      </c>
      <c r="AI29" s="531">
        <f>'1 Aggregate System'!K30</f>
        <v>0</v>
      </c>
      <c r="AJ29" s="532">
        <f t="shared" si="10"/>
        <v>0</v>
      </c>
      <c r="AK29" s="523" t="e">
        <f t="shared" si="11"/>
        <v>#DIV/0!</v>
      </c>
      <c r="AL29" s="533" t="e">
        <f t="shared" si="12"/>
        <v>#DIV/0!</v>
      </c>
      <c r="AM29" s="533" t="e">
        <f t="shared" si="13"/>
        <v>#DIV/0!</v>
      </c>
      <c r="AN29" s="524" t="str">
        <f t="shared" si="16"/>
        <v/>
      </c>
    </row>
    <row r="30" spans="2:40" x14ac:dyDescent="0.3">
      <c r="B30" s="521" t="s">
        <v>61</v>
      </c>
      <c r="C30" s="522">
        <v>12.5</v>
      </c>
      <c r="D30" s="509">
        <f t="shared" si="6"/>
        <v>3.116086507375345</v>
      </c>
      <c r="E30" s="525">
        <f>+'1 Aggregate System'!L31</f>
        <v>0</v>
      </c>
      <c r="F30" s="521">
        <v>8</v>
      </c>
      <c r="G30" s="522">
        <v>18</v>
      </c>
      <c r="H30" s="526">
        <v>100</v>
      </c>
      <c r="I30" s="527">
        <v>100</v>
      </c>
      <c r="J30" s="521">
        <v>63</v>
      </c>
      <c r="K30" s="522">
        <v>75</v>
      </c>
      <c r="L30" s="521">
        <v>66</v>
      </c>
      <c r="M30" s="522">
        <v>86</v>
      </c>
      <c r="N30" s="521">
        <v>0</v>
      </c>
      <c r="O30" s="528">
        <f>D30</f>
        <v>3.116086507375345</v>
      </c>
      <c r="P30" s="529">
        <v>20</v>
      </c>
      <c r="Q30" s="530">
        <v>4</v>
      </c>
      <c r="S30" s="531" t="str">
        <f t="shared" si="14"/>
        <v/>
      </c>
      <c r="T30" s="533" t="e">
        <f t="shared" si="17"/>
        <v>#VALUE!</v>
      </c>
      <c r="U30" s="522">
        <f t="shared" si="18"/>
        <v>0</v>
      </c>
      <c r="V30" s="531">
        <f t="shared" si="15"/>
        <v>12</v>
      </c>
      <c r="W30" s="533" t="e">
        <f t="shared" si="19"/>
        <v>#VALUE!</v>
      </c>
      <c r="X30" s="524" t="e">
        <f t="shared" si="20"/>
        <v>#VALUE!</v>
      </c>
      <c r="Z30" s="508" t="s">
        <v>61</v>
      </c>
      <c r="AA30" s="531">
        <f>'1 Aggregate System'!C31</f>
        <v>0</v>
      </c>
      <c r="AB30" s="532" t="e">
        <f t="shared" si="7"/>
        <v>#DIV/0!</v>
      </c>
      <c r="AC30" s="531">
        <f>'1 Aggregate System'!E31</f>
        <v>0</v>
      </c>
      <c r="AD30" s="532" t="e">
        <f t="shared" si="7"/>
        <v>#DIV/0!</v>
      </c>
      <c r="AE30" s="531">
        <f>'1 Aggregate System'!G31</f>
        <v>0</v>
      </c>
      <c r="AF30" s="532" t="e">
        <f t="shared" si="8"/>
        <v>#DIV/0!</v>
      </c>
      <c r="AG30" s="531">
        <f>'1 Aggregate System'!I31</f>
        <v>0</v>
      </c>
      <c r="AH30" s="532">
        <f t="shared" si="9"/>
        <v>0</v>
      </c>
      <c r="AI30" s="531">
        <f>'1 Aggregate System'!K31</f>
        <v>0</v>
      </c>
      <c r="AJ30" s="532">
        <f t="shared" si="10"/>
        <v>0</v>
      </c>
      <c r="AK30" s="523" t="e">
        <f t="shared" si="11"/>
        <v>#DIV/0!</v>
      </c>
      <c r="AL30" s="533" t="e">
        <f t="shared" si="12"/>
        <v>#DIV/0!</v>
      </c>
      <c r="AM30" s="533" t="e">
        <f t="shared" si="13"/>
        <v>#DIV/0!</v>
      </c>
      <c r="AN30" s="524" t="str">
        <f t="shared" si="16"/>
        <v/>
      </c>
    </row>
    <row r="31" spans="2:40" x14ac:dyDescent="0.3">
      <c r="B31" s="521" t="s">
        <v>62</v>
      </c>
      <c r="C31" s="522">
        <v>9.5</v>
      </c>
      <c r="D31" s="509">
        <f t="shared" si="6"/>
        <v>2.754074108566122</v>
      </c>
      <c r="E31" s="525">
        <f>+'1 Aggregate System'!L32</f>
        <v>0</v>
      </c>
      <c r="F31" s="521">
        <v>8</v>
      </c>
      <c r="G31" s="522">
        <v>18</v>
      </c>
      <c r="H31" s="526">
        <v>100</v>
      </c>
      <c r="I31" s="527">
        <v>100</v>
      </c>
      <c r="J31" s="521">
        <v>55</v>
      </c>
      <c r="K31" s="522">
        <v>70</v>
      </c>
      <c r="L31" s="521">
        <v>50</v>
      </c>
      <c r="M31" s="522">
        <v>75</v>
      </c>
      <c r="N31" s="521"/>
      <c r="O31" s="522"/>
      <c r="P31" s="529">
        <v>20</v>
      </c>
      <c r="Q31" s="530">
        <v>4</v>
      </c>
      <c r="S31" s="531" t="str">
        <f t="shared" si="14"/>
        <v/>
      </c>
      <c r="T31" s="533" t="e">
        <f t="shared" si="17"/>
        <v>#VALUE!</v>
      </c>
      <c r="U31" s="522">
        <f t="shared" si="18"/>
        <v>0</v>
      </c>
      <c r="V31" s="531">
        <f t="shared" si="15"/>
        <v>12</v>
      </c>
      <c r="W31" s="533" t="e">
        <f t="shared" si="19"/>
        <v>#VALUE!</v>
      </c>
      <c r="X31" s="524" t="e">
        <f t="shared" si="20"/>
        <v>#VALUE!</v>
      </c>
      <c r="Z31" s="508" t="s">
        <v>62</v>
      </c>
      <c r="AA31" s="531">
        <f>'1 Aggregate System'!C32</f>
        <v>0</v>
      </c>
      <c r="AB31" s="532" t="e">
        <f t="shared" si="7"/>
        <v>#DIV/0!</v>
      </c>
      <c r="AC31" s="531">
        <f>'1 Aggregate System'!E32</f>
        <v>0</v>
      </c>
      <c r="AD31" s="532" t="e">
        <f t="shared" si="7"/>
        <v>#DIV/0!</v>
      </c>
      <c r="AE31" s="531">
        <f>'1 Aggregate System'!G32</f>
        <v>0</v>
      </c>
      <c r="AF31" s="532" t="e">
        <f t="shared" si="8"/>
        <v>#DIV/0!</v>
      </c>
      <c r="AG31" s="531">
        <f>'1 Aggregate System'!I32</f>
        <v>0</v>
      </c>
      <c r="AH31" s="532">
        <f t="shared" si="9"/>
        <v>0</v>
      </c>
      <c r="AI31" s="531">
        <f>'1 Aggregate System'!K32</f>
        <v>0</v>
      </c>
      <c r="AJ31" s="532">
        <f t="shared" si="10"/>
        <v>0</v>
      </c>
      <c r="AK31" s="523" t="e">
        <f t="shared" si="11"/>
        <v>#DIV/0!</v>
      </c>
      <c r="AL31" s="533" t="e">
        <f t="shared" si="12"/>
        <v>#DIV/0!</v>
      </c>
      <c r="AM31" s="533" t="e">
        <f t="shared" si="13"/>
        <v>#DIV/0!</v>
      </c>
      <c r="AN31" s="524" t="str">
        <f t="shared" si="16"/>
        <v/>
      </c>
    </row>
    <row r="32" spans="2:40" x14ac:dyDescent="0.3">
      <c r="B32" s="521" t="s">
        <v>63</v>
      </c>
      <c r="C32" s="522">
        <v>4.75</v>
      </c>
      <c r="D32" s="509">
        <f t="shared" si="6"/>
        <v>2.0161002539629291</v>
      </c>
      <c r="E32" s="525">
        <f>+'1 Aggregate System'!L33</f>
        <v>0</v>
      </c>
      <c r="F32" s="521">
        <v>8</v>
      </c>
      <c r="G32" s="522">
        <v>18</v>
      </c>
      <c r="H32" s="529">
        <v>95</v>
      </c>
      <c r="I32" s="530">
        <v>100</v>
      </c>
      <c r="J32" s="521">
        <v>40</v>
      </c>
      <c r="K32" s="522">
        <v>59</v>
      </c>
      <c r="L32" s="521">
        <v>40</v>
      </c>
      <c r="M32" s="522">
        <v>52</v>
      </c>
      <c r="N32" s="521">
        <v>0</v>
      </c>
      <c r="O32" s="528">
        <f>D32</f>
        <v>2.0161002539629291</v>
      </c>
      <c r="P32" s="529">
        <v>20</v>
      </c>
      <c r="Q32" s="530">
        <v>4</v>
      </c>
      <c r="S32" s="531" t="str">
        <f t="shared" si="14"/>
        <v/>
      </c>
      <c r="T32" s="533" t="e">
        <f t="shared" si="17"/>
        <v>#VALUE!</v>
      </c>
      <c r="U32" s="522">
        <f t="shared" si="18"/>
        <v>0</v>
      </c>
      <c r="V32" s="531">
        <f t="shared" si="15"/>
        <v>12</v>
      </c>
      <c r="W32" s="533" t="e">
        <f t="shared" si="19"/>
        <v>#VALUE!</v>
      </c>
      <c r="X32" s="524" t="e">
        <f t="shared" si="20"/>
        <v>#VALUE!</v>
      </c>
      <c r="Z32" s="508" t="s">
        <v>63</v>
      </c>
      <c r="AA32" s="531">
        <f>'1 Aggregate System'!C33</f>
        <v>0</v>
      </c>
      <c r="AB32" s="532" t="e">
        <f t="shared" si="7"/>
        <v>#DIV/0!</v>
      </c>
      <c r="AC32" s="531">
        <f>'1 Aggregate System'!E33</f>
        <v>0</v>
      </c>
      <c r="AD32" s="532" t="e">
        <f t="shared" si="7"/>
        <v>#DIV/0!</v>
      </c>
      <c r="AE32" s="531">
        <f>'1 Aggregate System'!G33</f>
        <v>0</v>
      </c>
      <c r="AF32" s="532" t="e">
        <f t="shared" si="8"/>
        <v>#DIV/0!</v>
      </c>
      <c r="AG32" s="531">
        <f>'1 Aggregate System'!I33</f>
        <v>0</v>
      </c>
      <c r="AH32" s="532">
        <f t="shared" si="9"/>
        <v>0</v>
      </c>
      <c r="AI32" s="531">
        <f>'1 Aggregate System'!K33</f>
        <v>0</v>
      </c>
      <c r="AJ32" s="532">
        <f t="shared" si="10"/>
        <v>0</v>
      </c>
      <c r="AK32" s="523" t="e">
        <f t="shared" si="11"/>
        <v>#DIV/0!</v>
      </c>
      <c r="AL32" s="533" t="e">
        <f t="shared" si="12"/>
        <v>#DIV/0!</v>
      </c>
      <c r="AM32" s="533" t="e">
        <f t="shared" si="13"/>
        <v>#DIV/0!</v>
      </c>
      <c r="AN32" s="524" t="str">
        <f t="shared" si="16"/>
        <v/>
      </c>
    </row>
    <row r="33" spans="2:40" x14ac:dyDescent="0.3">
      <c r="B33" s="521" t="s">
        <v>64</v>
      </c>
      <c r="C33" s="522">
        <v>2.36</v>
      </c>
      <c r="D33" s="509">
        <f t="shared" si="6"/>
        <v>1.4716698795820382</v>
      </c>
      <c r="E33" s="525">
        <f>+'1 Aggregate System'!L34</f>
        <v>0</v>
      </c>
      <c r="F33" s="521">
        <v>8</v>
      </c>
      <c r="G33" s="522">
        <v>18</v>
      </c>
      <c r="H33" s="529">
        <v>80</v>
      </c>
      <c r="I33" s="530">
        <v>100</v>
      </c>
      <c r="J33" s="521">
        <v>28</v>
      </c>
      <c r="K33" s="522">
        <v>48</v>
      </c>
      <c r="L33" s="521">
        <v>33</v>
      </c>
      <c r="M33" s="522">
        <v>43</v>
      </c>
      <c r="N33" s="521"/>
      <c r="O33" s="528"/>
      <c r="P33" s="529">
        <v>12</v>
      </c>
      <c r="Q33" s="530">
        <v>0</v>
      </c>
      <c r="S33" s="531" t="str">
        <f t="shared" si="14"/>
        <v/>
      </c>
      <c r="T33" s="533" t="e">
        <f t="shared" si="17"/>
        <v>#VALUE!</v>
      </c>
      <c r="U33" s="522">
        <f t="shared" si="18"/>
        <v>0</v>
      </c>
      <c r="V33" s="531">
        <f t="shared" si="15"/>
        <v>6</v>
      </c>
      <c r="W33" s="533" t="e">
        <f t="shared" si="19"/>
        <v>#VALUE!</v>
      </c>
      <c r="X33" s="524" t="e">
        <f t="shared" si="20"/>
        <v>#VALUE!</v>
      </c>
      <c r="Z33" s="508" t="s">
        <v>64</v>
      </c>
      <c r="AA33" s="531">
        <f>'1 Aggregate System'!C34</f>
        <v>0</v>
      </c>
      <c r="AB33" s="532" t="e">
        <f t="shared" si="7"/>
        <v>#DIV/0!</v>
      </c>
      <c r="AC33" s="531">
        <f>'1 Aggregate System'!E34</f>
        <v>0</v>
      </c>
      <c r="AD33" s="532" t="e">
        <f t="shared" si="7"/>
        <v>#DIV/0!</v>
      </c>
      <c r="AE33" s="531">
        <f>'1 Aggregate System'!G34</f>
        <v>0</v>
      </c>
      <c r="AF33" s="532" t="e">
        <f t="shared" si="8"/>
        <v>#DIV/0!</v>
      </c>
      <c r="AG33" s="531">
        <f>'1 Aggregate System'!I34</f>
        <v>0</v>
      </c>
      <c r="AH33" s="532">
        <f t="shared" si="9"/>
        <v>0</v>
      </c>
      <c r="AI33" s="531">
        <f>'1 Aggregate System'!K34</f>
        <v>0</v>
      </c>
      <c r="AJ33" s="532">
        <f t="shared" si="10"/>
        <v>0</v>
      </c>
      <c r="AK33" s="523" t="e">
        <f t="shared" si="11"/>
        <v>#DIV/0!</v>
      </c>
      <c r="AL33" s="533" t="e">
        <f t="shared" si="12"/>
        <v>#DIV/0!</v>
      </c>
      <c r="AM33" s="533" t="e">
        <f t="shared" si="13"/>
        <v>#DIV/0!</v>
      </c>
      <c r="AN33" s="524" t="str">
        <f t="shared" si="16"/>
        <v/>
      </c>
    </row>
    <row r="34" spans="2:40" x14ac:dyDescent="0.3">
      <c r="B34" s="521" t="s">
        <v>65</v>
      </c>
      <c r="C34" s="522">
        <v>1.18</v>
      </c>
      <c r="D34" s="509">
        <f t="shared" si="6"/>
        <v>1.0773254099250416</v>
      </c>
      <c r="E34" s="525">
        <f>+'1 Aggregate System'!L35</f>
        <v>0</v>
      </c>
      <c r="F34" s="521">
        <v>8</v>
      </c>
      <c r="G34" s="522">
        <v>18</v>
      </c>
      <c r="H34" s="529">
        <v>50</v>
      </c>
      <c r="I34" s="530">
        <v>85</v>
      </c>
      <c r="J34" s="521">
        <v>18</v>
      </c>
      <c r="K34" s="522">
        <v>35</v>
      </c>
      <c r="L34" s="521">
        <v>25</v>
      </c>
      <c r="M34" s="522">
        <v>35</v>
      </c>
      <c r="N34" s="521">
        <v>0</v>
      </c>
      <c r="O34" s="528">
        <f>D34</f>
        <v>1.0773254099250416</v>
      </c>
      <c r="P34" s="529">
        <v>12</v>
      </c>
      <c r="Q34" s="530">
        <v>0</v>
      </c>
      <c r="S34" s="531" t="str">
        <f t="shared" si="14"/>
        <v/>
      </c>
      <c r="T34" s="533" t="e">
        <f t="shared" si="17"/>
        <v>#VALUE!</v>
      </c>
      <c r="U34" s="522">
        <f t="shared" si="18"/>
        <v>0</v>
      </c>
      <c r="V34" s="531">
        <f t="shared" si="15"/>
        <v>6</v>
      </c>
      <c r="W34" s="533" t="e">
        <f t="shared" si="19"/>
        <v>#VALUE!</v>
      </c>
      <c r="X34" s="524" t="e">
        <f t="shared" si="20"/>
        <v>#VALUE!</v>
      </c>
      <c r="Z34" s="508" t="s">
        <v>65</v>
      </c>
      <c r="AA34" s="531">
        <f>'1 Aggregate System'!C35</f>
        <v>0</v>
      </c>
      <c r="AB34" s="532" t="e">
        <f t="shared" si="7"/>
        <v>#DIV/0!</v>
      </c>
      <c r="AC34" s="531">
        <f>'1 Aggregate System'!E35</f>
        <v>0</v>
      </c>
      <c r="AD34" s="532" t="e">
        <f t="shared" si="7"/>
        <v>#DIV/0!</v>
      </c>
      <c r="AE34" s="531">
        <f>'1 Aggregate System'!G35</f>
        <v>0</v>
      </c>
      <c r="AF34" s="532" t="e">
        <f t="shared" si="8"/>
        <v>#DIV/0!</v>
      </c>
      <c r="AG34" s="531">
        <f>'1 Aggregate System'!I35</f>
        <v>0</v>
      </c>
      <c r="AH34" s="532">
        <f t="shared" si="9"/>
        <v>0</v>
      </c>
      <c r="AI34" s="531">
        <f>'1 Aggregate System'!K35</f>
        <v>0</v>
      </c>
      <c r="AJ34" s="532">
        <f t="shared" si="10"/>
        <v>0</v>
      </c>
      <c r="AK34" s="523" t="e">
        <f t="shared" si="11"/>
        <v>#DIV/0!</v>
      </c>
      <c r="AL34" s="533" t="e">
        <f t="shared" si="12"/>
        <v>#DIV/0!</v>
      </c>
      <c r="AM34" s="533" t="e">
        <f t="shared" si="13"/>
        <v>#DIV/0!</v>
      </c>
      <c r="AN34" s="524" t="str">
        <f t="shared" si="16"/>
        <v/>
      </c>
    </row>
    <row r="35" spans="2:40" x14ac:dyDescent="0.3">
      <c r="B35" s="521" t="s">
        <v>66</v>
      </c>
      <c r="C35" s="522">
        <v>0.6</v>
      </c>
      <c r="D35" s="509">
        <f t="shared" si="6"/>
        <v>0.79463568224020453</v>
      </c>
      <c r="E35" s="525">
        <f>+'1 Aggregate System'!L36</f>
        <v>0</v>
      </c>
      <c r="F35" s="521">
        <v>8</v>
      </c>
      <c r="G35" s="522">
        <v>18</v>
      </c>
      <c r="H35" s="529">
        <v>25</v>
      </c>
      <c r="I35" s="530">
        <v>60</v>
      </c>
      <c r="J35" s="521">
        <v>12</v>
      </c>
      <c r="K35" s="522">
        <v>25</v>
      </c>
      <c r="L35" s="521">
        <v>15</v>
      </c>
      <c r="M35" s="522">
        <v>25</v>
      </c>
      <c r="N35" s="521"/>
      <c r="O35" s="528"/>
      <c r="P35" s="529">
        <v>20</v>
      </c>
      <c r="Q35" s="530">
        <v>4</v>
      </c>
      <c r="S35" s="531" t="str">
        <f t="shared" si="14"/>
        <v/>
      </c>
      <c r="T35" s="533" t="e">
        <f t="shared" si="17"/>
        <v>#VALUE!</v>
      </c>
      <c r="U35" s="522">
        <f t="shared" si="18"/>
        <v>0</v>
      </c>
      <c r="V35" s="531">
        <f t="shared" si="15"/>
        <v>12</v>
      </c>
      <c r="W35" s="533" t="e">
        <f t="shared" si="19"/>
        <v>#VALUE!</v>
      </c>
      <c r="X35" s="524" t="e">
        <f t="shared" si="20"/>
        <v>#VALUE!</v>
      </c>
      <c r="Z35" s="508" t="s">
        <v>66</v>
      </c>
      <c r="AA35" s="531">
        <f>'1 Aggregate System'!C36</f>
        <v>0</v>
      </c>
      <c r="AB35" s="532" t="e">
        <f t="shared" si="7"/>
        <v>#DIV/0!</v>
      </c>
      <c r="AC35" s="531">
        <f>'1 Aggregate System'!E36</f>
        <v>0</v>
      </c>
      <c r="AD35" s="532" t="e">
        <f t="shared" si="7"/>
        <v>#DIV/0!</v>
      </c>
      <c r="AE35" s="531">
        <f>'1 Aggregate System'!G36</f>
        <v>0</v>
      </c>
      <c r="AF35" s="532" t="e">
        <f t="shared" si="8"/>
        <v>#DIV/0!</v>
      </c>
      <c r="AG35" s="531">
        <f>'1 Aggregate System'!I36</f>
        <v>0</v>
      </c>
      <c r="AH35" s="532">
        <f t="shared" si="9"/>
        <v>0</v>
      </c>
      <c r="AI35" s="531">
        <f>'1 Aggregate System'!K36</f>
        <v>0</v>
      </c>
      <c r="AJ35" s="532">
        <f t="shared" si="10"/>
        <v>0</v>
      </c>
      <c r="AK35" s="523" t="e">
        <f t="shared" si="11"/>
        <v>#DIV/0!</v>
      </c>
      <c r="AL35" s="533" t="e">
        <f t="shared" si="12"/>
        <v>#DIV/0!</v>
      </c>
      <c r="AM35" s="533" t="e">
        <f t="shared" si="13"/>
        <v>#DIV/0!</v>
      </c>
      <c r="AN35" s="524" t="str">
        <f t="shared" si="16"/>
        <v/>
      </c>
    </row>
    <row r="36" spans="2:40" x14ac:dyDescent="0.3">
      <c r="B36" s="521" t="s">
        <v>67</v>
      </c>
      <c r="C36" s="522">
        <v>0.3</v>
      </c>
      <c r="D36" s="509">
        <f t="shared" si="6"/>
        <v>0.58170736792793831</v>
      </c>
      <c r="E36" s="525">
        <f>+'1 Aggregate System'!L37</f>
        <v>0</v>
      </c>
      <c r="F36" s="521">
        <v>0</v>
      </c>
      <c r="G36" s="522">
        <v>18</v>
      </c>
      <c r="H36" s="529">
        <v>10</v>
      </c>
      <c r="I36" s="530">
        <v>30</v>
      </c>
      <c r="J36" s="521">
        <v>7</v>
      </c>
      <c r="K36" s="522">
        <v>15</v>
      </c>
      <c r="L36" s="521">
        <v>5</v>
      </c>
      <c r="M36" s="522">
        <v>15</v>
      </c>
      <c r="N36" s="521">
        <v>0</v>
      </c>
      <c r="O36" s="528">
        <f>D36</f>
        <v>0.58170736792793831</v>
      </c>
      <c r="P36" s="529">
        <v>20</v>
      </c>
      <c r="Q36" s="530">
        <v>4</v>
      </c>
      <c r="S36" s="531" t="str">
        <f t="shared" si="14"/>
        <v/>
      </c>
      <c r="T36" s="533" t="e">
        <f t="shared" si="17"/>
        <v>#VALUE!</v>
      </c>
      <c r="U36" s="522">
        <f t="shared" si="18"/>
        <v>0</v>
      </c>
      <c r="V36" s="531">
        <f t="shared" si="15"/>
        <v>12</v>
      </c>
      <c r="W36" s="533" t="e">
        <f t="shared" si="19"/>
        <v>#VALUE!</v>
      </c>
      <c r="X36" s="524" t="e">
        <f t="shared" si="20"/>
        <v>#VALUE!</v>
      </c>
      <c r="Z36" s="508" t="s">
        <v>67</v>
      </c>
      <c r="AA36" s="531">
        <f>'1 Aggregate System'!C37</f>
        <v>0</v>
      </c>
      <c r="AB36" s="532" t="e">
        <f t="shared" si="7"/>
        <v>#DIV/0!</v>
      </c>
      <c r="AC36" s="531">
        <f>'1 Aggregate System'!E37</f>
        <v>0</v>
      </c>
      <c r="AD36" s="532" t="e">
        <f t="shared" si="7"/>
        <v>#DIV/0!</v>
      </c>
      <c r="AE36" s="531">
        <f>'1 Aggregate System'!G37</f>
        <v>0</v>
      </c>
      <c r="AF36" s="532" t="e">
        <f t="shared" si="8"/>
        <v>#DIV/0!</v>
      </c>
      <c r="AG36" s="531">
        <f>'1 Aggregate System'!I37</f>
        <v>0</v>
      </c>
      <c r="AH36" s="532">
        <f t="shared" si="9"/>
        <v>0</v>
      </c>
      <c r="AI36" s="531">
        <f>'1 Aggregate System'!K37</f>
        <v>0</v>
      </c>
      <c r="AJ36" s="532">
        <f t="shared" si="10"/>
        <v>0</v>
      </c>
      <c r="AK36" s="523" t="e">
        <f t="shared" si="11"/>
        <v>#DIV/0!</v>
      </c>
      <c r="AL36" s="533" t="e">
        <f t="shared" si="12"/>
        <v>#DIV/0!</v>
      </c>
      <c r="AM36" s="533" t="e">
        <f t="shared" si="13"/>
        <v>#DIV/0!</v>
      </c>
      <c r="AN36" s="524" t="str">
        <f t="shared" si="16"/>
        <v/>
      </c>
    </row>
    <row r="37" spans="2:40" x14ac:dyDescent="0.3">
      <c r="B37" s="521" t="s">
        <v>68</v>
      </c>
      <c r="C37" s="522">
        <v>0.15</v>
      </c>
      <c r="D37" s="509">
        <f t="shared" si="6"/>
        <v>0.42583471830473674</v>
      </c>
      <c r="E37" s="525">
        <f>+'1 Aggregate System'!L38</f>
        <v>0</v>
      </c>
      <c r="F37" s="521"/>
      <c r="G37" s="522">
        <v>0</v>
      </c>
      <c r="H37" s="529">
        <v>2</v>
      </c>
      <c r="I37" s="530">
        <v>10</v>
      </c>
      <c r="J37" s="521">
        <v>3</v>
      </c>
      <c r="K37" s="522">
        <v>8</v>
      </c>
      <c r="L37" s="521">
        <v>1</v>
      </c>
      <c r="M37" s="522">
        <v>8</v>
      </c>
      <c r="N37" s="521"/>
      <c r="O37" s="528"/>
      <c r="P37" s="529">
        <v>10</v>
      </c>
      <c r="Q37" s="530">
        <v>0</v>
      </c>
      <c r="S37" s="531" t="str">
        <f t="shared" si="14"/>
        <v/>
      </c>
      <c r="T37" s="533" t="e">
        <f t="shared" si="17"/>
        <v>#VALUE!</v>
      </c>
      <c r="U37" s="522">
        <f t="shared" si="18"/>
        <v>0</v>
      </c>
      <c r="V37" s="531">
        <f t="shared" si="15"/>
        <v>5</v>
      </c>
      <c r="W37" s="533" t="e">
        <f t="shared" si="19"/>
        <v>#VALUE!</v>
      </c>
      <c r="X37" s="524" t="e">
        <f t="shared" si="20"/>
        <v>#VALUE!</v>
      </c>
      <c r="Z37" s="508" t="s">
        <v>68</v>
      </c>
      <c r="AA37" s="531">
        <f>'1 Aggregate System'!C38</f>
        <v>0</v>
      </c>
      <c r="AB37" s="532" t="e">
        <f t="shared" si="7"/>
        <v>#DIV/0!</v>
      </c>
      <c r="AC37" s="531">
        <f>'1 Aggregate System'!E38</f>
        <v>0</v>
      </c>
      <c r="AD37" s="532" t="e">
        <f t="shared" si="7"/>
        <v>#DIV/0!</v>
      </c>
      <c r="AE37" s="531">
        <f>'1 Aggregate System'!G38</f>
        <v>0</v>
      </c>
      <c r="AF37" s="532" t="e">
        <f t="shared" si="8"/>
        <v>#DIV/0!</v>
      </c>
      <c r="AG37" s="531">
        <f>'1 Aggregate System'!I38</f>
        <v>0</v>
      </c>
      <c r="AH37" s="532">
        <f t="shared" si="9"/>
        <v>0</v>
      </c>
      <c r="AI37" s="531">
        <f>'1 Aggregate System'!K38</f>
        <v>0</v>
      </c>
      <c r="AJ37" s="532">
        <f t="shared" si="10"/>
        <v>0</v>
      </c>
      <c r="AK37" s="523" t="e">
        <f t="shared" si="11"/>
        <v>#DIV/0!</v>
      </c>
      <c r="AL37" s="533" t="e">
        <f t="shared" si="12"/>
        <v>#DIV/0!</v>
      </c>
      <c r="AM37" s="533" t="e">
        <f t="shared" si="13"/>
        <v>#DIV/0!</v>
      </c>
      <c r="AN37" s="524" t="str">
        <f t="shared" si="16"/>
        <v/>
      </c>
    </row>
    <row r="38" spans="2:40" x14ac:dyDescent="0.3">
      <c r="B38" s="534" t="s">
        <v>69</v>
      </c>
      <c r="C38" s="535">
        <v>7.4999999999999997E-2</v>
      </c>
      <c r="D38" s="513">
        <f t="shared" si="6"/>
        <v>0.31172925995349998</v>
      </c>
      <c r="E38" s="536">
        <f>+'1 Aggregate System'!L39</f>
        <v>0</v>
      </c>
      <c r="F38" s="534"/>
      <c r="G38" s="535"/>
      <c r="H38" s="534">
        <v>0</v>
      </c>
      <c r="I38" s="535">
        <v>0</v>
      </c>
      <c r="J38" s="534">
        <v>0</v>
      </c>
      <c r="K38" s="535">
        <v>0</v>
      </c>
      <c r="L38" s="534">
        <v>1</v>
      </c>
      <c r="M38" s="535">
        <v>6</v>
      </c>
      <c r="N38" s="534">
        <v>0</v>
      </c>
      <c r="O38" s="537">
        <f>D38</f>
        <v>0.31172925995349998</v>
      </c>
      <c r="P38" s="538">
        <v>5</v>
      </c>
      <c r="Q38" s="539">
        <v>0</v>
      </c>
      <c r="S38" s="531" t="str">
        <f t="shared" si="14"/>
        <v/>
      </c>
      <c r="T38" s="533" t="e">
        <f t="shared" si="17"/>
        <v>#VALUE!</v>
      </c>
      <c r="U38" s="522">
        <f t="shared" si="18"/>
        <v>0</v>
      </c>
      <c r="V38" s="531">
        <f t="shared" si="15"/>
        <v>2.5</v>
      </c>
      <c r="W38" s="533" t="e">
        <f t="shared" si="19"/>
        <v>#VALUE!</v>
      </c>
      <c r="X38" s="524" t="e">
        <f t="shared" si="20"/>
        <v>#VALUE!</v>
      </c>
      <c r="Z38" s="508" t="s">
        <v>69</v>
      </c>
      <c r="AA38" s="531">
        <f>'1 Aggregate System'!C39</f>
        <v>0</v>
      </c>
      <c r="AB38" s="532" t="e">
        <f t="shared" si="7"/>
        <v>#DIV/0!</v>
      </c>
      <c r="AC38" s="531">
        <f>'1 Aggregate System'!E39</f>
        <v>0</v>
      </c>
      <c r="AD38" s="532" t="e">
        <f t="shared" si="7"/>
        <v>#DIV/0!</v>
      </c>
      <c r="AE38" s="531">
        <f>'1 Aggregate System'!G39</f>
        <v>0</v>
      </c>
      <c r="AF38" s="532" t="e">
        <f t="shared" si="8"/>
        <v>#DIV/0!</v>
      </c>
      <c r="AG38" s="531">
        <f>'1 Aggregate System'!I39</f>
        <v>0</v>
      </c>
      <c r="AH38" s="532">
        <f t="shared" si="9"/>
        <v>0</v>
      </c>
      <c r="AI38" s="531">
        <f>'1 Aggregate System'!K39</f>
        <v>0</v>
      </c>
      <c r="AJ38" s="532">
        <f t="shared" si="10"/>
        <v>0</v>
      </c>
      <c r="AK38" s="523" t="e">
        <f t="shared" si="11"/>
        <v>#DIV/0!</v>
      </c>
      <c r="AL38" s="533" t="e">
        <f t="shared" si="12"/>
        <v>#DIV/0!</v>
      </c>
      <c r="AM38" s="533" t="e">
        <f t="shared" si="13"/>
        <v>#DIV/0!</v>
      </c>
      <c r="AN38" s="524" t="str">
        <f t="shared" si="16"/>
        <v/>
      </c>
    </row>
    <row r="39" spans="2:40" x14ac:dyDescent="0.3">
      <c r="S39" s="540" t="e">
        <f>T39+U39</f>
        <v>#VALUE!</v>
      </c>
      <c r="T39" s="541" t="e">
        <f>SUM(T28:T37)</f>
        <v>#VALUE!</v>
      </c>
      <c r="U39" s="542">
        <f>SUM(U28:U37)</f>
        <v>0</v>
      </c>
      <c r="V39" s="534"/>
      <c r="W39" s="541" t="e">
        <f>SUM(W28:W37)</f>
        <v>#VALUE!</v>
      </c>
      <c r="X39" s="542" t="e">
        <f>SUM(X28:X37)</f>
        <v>#VALUE!</v>
      </c>
      <c r="Z39" s="512"/>
      <c r="AA39" s="534"/>
      <c r="AB39" s="535"/>
      <c r="AC39" s="534"/>
      <c r="AD39" s="535"/>
      <c r="AE39" s="534"/>
      <c r="AF39" s="535"/>
      <c r="AG39" s="534"/>
      <c r="AH39" s="535"/>
      <c r="AI39" s="534"/>
      <c r="AJ39" s="535"/>
      <c r="AK39" s="534"/>
      <c r="AL39" s="543"/>
      <c r="AM39" s="541"/>
      <c r="AN39" s="542"/>
    </row>
    <row r="42" spans="2:40" x14ac:dyDescent="0.3">
      <c r="B42" s="134" t="s">
        <v>153</v>
      </c>
    </row>
    <row r="44" spans="2:40" x14ac:dyDescent="0.3">
      <c r="B44" s="515" t="s">
        <v>154</v>
      </c>
      <c r="C44" s="517">
        <v>100</v>
      </c>
      <c r="D44" s="516">
        <v>36</v>
      </c>
      <c r="M44" s="149"/>
      <c r="N44" s="149"/>
      <c r="O44" s="149"/>
      <c r="P44" s="149"/>
    </row>
    <row r="45" spans="2:40" x14ac:dyDescent="0.3">
      <c r="B45" s="521"/>
      <c r="C45" s="134">
        <v>35</v>
      </c>
      <c r="D45" s="522">
        <v>45</v>
      </c>
      <c r="M45" s="149"/>
      <c r="N45" s="149"/>
      <c r="O45" s="149"/>
      <c r="P45" s="149"/>
    </row>
    <row r="46" spans="2:40" x14ac:dyDescent="0.3">
      <c r="B46" s="521" t="s">
        <v>155</v>
      </c>
      <c r="C46" s="134">
        <v>100</v>
      </c>
      <c r="D46" s="522">
        <v>27</v>
      </c>
      <c r="M46" s="149"/>
      <c r="N46" s="544"/>
      <c r="O46" s="149"/>
      <c r="P46" s="149"/>
    </row>
    <row r="47" spans="2:40" x14ac:dyDescent="0.3">
      <c r="B47" s="521"/>
      <c r="C47" s="134">
        <v>85</v>
      </c>
      <c r="D47" s="522">
        <v>27</v>
      </c>
      <c r="M47" s="149"/>
      <c r="N47" s="149"/>
      <c r="O47" s="149"/>
      <c r="P47" s="149"/>
    </row>
    <row r="48" spans="2:40" x14ac:dyDescent="0.3">
      <c r="B48" s="521"/>
      <c r="C48" s="134">
        <v>15</v>
      </c>
      <c r="D48" s="522">
        <v>37</v>
      </c>
      <c r="M48" s="149"/>
      <c r="N48" s="149"/>
      <c r="O48" s="149"/>
      <c r="P48" s="149"/>
    </row>
    <row r="49" spans="2:16" x14ac:dyDescent="0.3">
      <c r="B49" s="521"/>
      <c r="C49" s="134">
        <v>0</v>
      </c>
      <c r="D49" s="522">
        <v>37</v>
      </c>
      <c r="M49" s="149"/>
      <c r="N49" s="149"/>
      <c r="O49" s="149"/>
      <c r="P49" s="149"/>
    </row>
    <row r="50" spans="2:16" x14ac:dyDescent="0.3">
      <c r="B50" s="521" t="s">
        <v>156</v>
      </c>
      <c r="C50" s="134">
        <v>75</v>
      </c>
      <c r="D50" s="532">
        <f>(C50-C47)/(C48-C47)*(D48-D47)+D47</f>
        <v>28.428571428571427</v>
      </c>
      <c r="M50" s="149"/>
      <c r="N50" s="149"/>
      <c r="O50" s="149"/>
      <c r="P50" s="149"/>
    </row>
    <row r="51" spans="2:16" x14ac:dyDescent="0.3">
      <c r="B51" s="521"/>
      <c r="C51" s="134">
        <v>75</v>
      </c>
      <c r="D51" s="532">
        <f>(C50-C44)/(C45-C44)*(D45-D44)+D44</f>
        <v>39.46153846153846</v>
      </c>
      <c r="M51" s="149"/>
      <c r="N51" s="149"/>
      <c r="O51" s="149"/>
      <c r="P51" s="149"/>
    </row>
    <row r="52" spans="2:16" x14ac:dyDescent="0.3">
      <c r="B52" s="521" t="s">
        <v>157</v>
      </c>
      <c r="C52" s="134">
        <v>45</v>
      </c>
      <c r="D52" s="532">
        <f>(C52-C47)/(C48-C47)*(D48-D47)+D47</f>
        <v>32.714285714285715</v>
      </c>
      <c r="M52" s="149"/>
      <c r="N52" s="149"/>
      <c r="O52" s="149"/>
      <c r="P52" s="149"/>
    </row>
    <row r="53" spans="2:16" x14ac:dyDescent="0.3">
      <c r="B53" s="534"/>
      <c r="C53" s="543">
        <v>45</v>
      </c>
      <c r="D53" s="545">
        <f>(C52-C44)/(C45-C44)*(D45-D44)+D44</f>
        <v>43.615384615384613</v>
      </c>
      <c r="M53" s="149"/>
      <c r="N53" s="149"/>
      <c r="O53" s="149"/>
      <c r="P53" s="544"/>
    </row>
    <row r="54" spans="2:16" x14ac:dyDescent="0.3">
      <c r="M54" s="149"/>
      <c r="N54" s="149"/>
      <c r="O54" s="149"/>
      <c r="P54" s="149"/>
    </row>
    <row r="56" spans="2:16" x14ac:dyDescent="0.3">
      <c r="B56" s="134" t="s">
        <v>158</v>
      </c>
    </row>
    <row r="57" spans="2:16" ht="16.2" thickBot="1" x14ac:dyDescent="0.35"/>
    <row r="58" spans="2:16" x14ac:dyDescent="0.3">
      <c r="B58" s="546" t="s">
        <v>159</v>
      </c>
      <c r="C58" s="547">
        <f>'1 Aggregate System'!E22</f>
        <v>0</v>
      </c>
      <c r="D58" s="546" t="s">
        <v>145</v>
      </c>
      <c r="E58" s="548"/>
      <c r="F58" s="363"/>
      <c r="G58" s="546" t="s">
        <v>146</v>
      </c>
      <c r="H58" s="548"/>
      <c r="I58" s="363"/>
      <c r="J58" s="363"/>
      <c r="K58" s="363"/>
      <c r="L58" s="548"/>
    </row>
    <row r="59" spans="2:16" x14ac:dyDescent="0.3">
      <c r="B59" s="152"/>
      <c r="C59" s="549"/>
      <c r="D59" s="550">
        <v>0.31172925995349998</v>
      </c>
      <c r="E59" s="551"/>
      <c r="G59" s="152"/>
      <c r="H59" s="551"/>
      <c r="L59" s="551"/>
    </row>
    <row r="60" spans="2:16" x14ac:dyDescent="0.3">
      <c r="B60" s="152"/>
      <c r="D60" s="550">
        <f>D61</f>
        <v>1.1899115514578733</v>
      </c>
      <c r="E60" s="551">
        <v>0</v>
      </c>
      <c r="G60" s="550">
        <v>0.31172925995349998</v>
      </c>
      <c r="H60" s="552">
        <v>0</v>
      </c>
      <c r="L60" s="551"/>
    </row>
    <row r="61" spans="2:16" x14ac:dyDescent="0.3">
      <c r="B61" s="152"/>
      <c r="D61" s="550">
        <f>'4 Agg Analysis'!D33^0.45</f>
        <v>1.1899115514578733</v>
      </c>
      <c r="E61" s="553" t="e">
        <f>((D61-D59)/(D63-D59))*E63</f>
        <v>#N/A</v>
      </c>
      <c r="G61" s="550">
        <f>'4 Agg Analysis'!D30</f>
        <v>3.116086507375345</v>
      </c>
      <c r="H61" s="552" t="e">
        <f>(G61-G60)/(G62-G60)*H62</f>
        <v>#N/A</v>
      </c>
      <c r="L61" s="551"/>
    </row>
    <row r="62" spans="2:16" ht="16.2" thickBot="1" x14ac:dyDescent="0.35">
      <c r="B62" s="152"/>
      <c r="D62" s="550">
        <f>'4 Agg Analysis'!D30</f>
        <v>3.116086507375345</v>
      </c>
      <c r="E62" s="553" t="e">
        <f>((D62-D59)/(D63-D59))*E63</f>
        <v>#N/A</v>
      </c>
      <c r="G62" s="550" t="e">
        <f>E67</f>
        <v>#N/A</v>
      </c>
      <c r="H62" s="551">
        <v>100</v>
      </c>
      <c r="L62" s="551"/>
    </row>
    <row r="63" spans="2:16" x14ac:dyDescent="0.3">
      <c r="B63" s="152"/>
      <c r="D63" s="550" t="e">
        <f>E65</f>
        <v>#N/A</v>
      </c>
      <c r="E63" s="551">
        <v>100</v>
      </c>
      <c r="G63" s="152"/>
      <c r="H63" s="551"/>
      <c r="M63" s="554">
        <f>'4 Agg Analysis'!D28</f>
        <v>4.2566996126039234</v>
      </c>
      <c r="N63" s="548">
        <v>100</v>
      </c>
    </row>
    <row r="64" spans="2:16" ht="16.2" thickBot="1" x14ac:dyDescent="0.35">
      <c r="B64" s="555"/>
      <c r="C64" s="370"/>
      <c r="D64" s="555"/>
      <c r="E64" s="556"/>
      <c r="F64" s="370"/>
      <c r="G64" s="555"/>
      <c r="H64" s="556"/>
      <c r="I64" s="370"/>
      <c r="J64" s="370"/>
      <c r="K64" s="370"/>
      <c r="L64" s="370"/>
      <c r="M64" s="550">
        <v>0.31172925995349998</v>
      </c>
      <c r="N64" s="551">
        <v>0</v>
      </c>
    </row>
    <row r="65" spans="2:14" x14ac:dyDescent="0.3">
      <c r="B65" s="152"/>
      <c r="D65" s="557" t="e">
        <f>VLOOKUP(D66,H65:J70,3)</f>
        <v>#N/A</v>
      </c>
      <c r="E65" s="557" t="e">
        <f>VLOOKUP(D65,H65:L70,5)</f>
        <v>#N/A</v>
      </c>
      <c r="F65" s="557">
        <v>0.31172925995349998</v>
      </c>
      <c r="H65" s="554">
        <v>0.5</v>
      </c>
      <c r="I65" s="557">
        <f>I67/2</f>
        <v>0.375</v>
      </c>
      <c r="J65" s="557">
        <v>0.75</v>
      </c>
      <c r="K65" s="557">
        <v>12.5</v>
      </c>
      <c r="L65" s="558">
        <f t="shared" ref="L65:L70" si="21">K65^0.45</f>
        <v>3.116086507375345</v>
      </c>
      <c r="M65" s="550"/>
      <c r="N65" s="551"/>
    </row>
    <row r="66" spans="2:14" x14ac:dyDescent="0.3">
      <c r="B66" s="152"/>
      <c r="C66" s="559" t="s">
        <v>160</v>
      </c>
      <c r="D66" s="213">
        <f>C58</f>
        <v>0</v>
      </c>
      <c r="E66" s="213" t="e">
        <f>VLOOKUP(D66,H65:L70,5)</f>
        <v>#N/A</v>
      </c>
      <c r="F66" s="213">
        <v>0.31172925995349998</v>
      </c>
      <c r="H66" s="550">
        <v>0.75</v>
      </c>
      <c r="I66" s="213">
        <v>0.5</v>
      </c>
      <c r="J66" s="213">
        <v>1</v>
      </c>
      <c r="K66" s="213">
        <v>19.5</v>
      </c>
      <c r="L66" s="560">
        <f t="shared" si="21"/>
        <v>3.8064100829378442</v>
      </c>
      <c r="M66" s="550">
        <f>'4 Agg Analysis'!D27</f>
        <v>5.1087431744234335</v>
      </c>
      <c r="N66" s="551">
        <v>100</v>
      </c>
    </row>
    <row r="67" spans="2:14" x14ac:dyDescent="0.3">
      <c r="B67" s="152"/>
      <c r="D67" s="213" t="e">
        <f>VLOOKUP(D66,H65:J70,2)</f>
        <v>#N/A</v>
      </c>
      <c r="E67" s="213" t="e">
        <f>VLOOKUP(D67,H65:L70,5)</f>
        <v>#N/A</v>
      </c>
      <c r="F67" s="213">
        <v>0.31172925995349998</v>
      </c>
      <c r="H67" s="550">
        <v>1</v>
      </c>
      <c r="I67" s="213">
        <v>0.75</v>
      </c>
      <c r="J67" s="213">
        <v>1.5</v>
      </c>
      <c r="K67" s="213">
        <v>25</v>
      </c>
      <c r="L67" s="560">
        <f t="shared" si="21"/>
        <v>4.2566996126039234</v>
      </c>
      <c r="M67" s="550">
        <v>0.31172925995349998</v>
      </c>
      <c r="N67" s="551">
        <v>0</v>
      </c>
    </row>
    <row r="68" spans="2:14" x14ac:dyDescent="0.3">
      <c r="B68" s="152"/>
      <c r="H68" s="550">
        <v>1.5</v>
      </c>
      <c r="I68" s="213">
        <v>1</v>
      </c>
      <c r="J68" s="213">
        <v>2</v>
      </c>
      <c r="K68" s="213">
        <v>37.5</v>
      </c>
      <c r="L68" s="560">
        <f t="shared" si="21"/>
        <v>5.1087431744234335</v>
      </c>
      <c r="M68" s="550"/>
      <c r="N68" s="551"/>
    </row>
    <row r="69" spans="2:14" x14ac:dyDescent="0.3">
      <c r="B69" s="152"/>
      <c r="E69" s="213">
        <v>0.31172925995349998</v>
      </c>
      <c r="F69" s="213">
        <v>0</v>
      </c>
      <c r="H69" s="550">
        <v>2</v>
      </c>
      <c r="I69" s="213">
        <v>1.5</v>
      </c>
      <c r="J69" s="213">
        <v>3</v>
      </c>
      <c r="K69" s="213">
        <v>50</v>
      </c>
      <c r="L69" s="560">
        <f t="shared" si="21"/>
        <v>5.8148230317277987</v>
      </c>
      <c r="M69" s="550">
        <f>'4 Agg Analysis'!D29</f>
        <v>3.8064100829378442</v>
      </c>
      <c r="N69" s="551">
        <v>100</v>
      </c>
    </row>
    <row r="70" spans="2:14" ht="16.2" thickBot="1" x14ac:dyDescent="0.35">
      <c r="B70" s="555"/>
      <c r="C70" s="370"/>
      <c r="D70" s="370"/>
      <c r="E70" s="370"/>
      <c r="F70" s="370"/>
      <c r="G70" s="370"/>
      <c r="H70" s="561">
        <v>3</v>
      </c>
      <c r="I70" s="562">
        <v>2</v>
      </c>
      <c r="J70" s="562">
        <v>4</v>
      </c>
      <c r="K70" s="562">
        <v>75</v>
      </c>
      <c r="L70" s="563">
        <f t="shared" si="21"/>
        <v>6.9787488376816533</v>
      </c>
      <c r="M70" s="561">
        <v>0.31172925995349998</v>
      </c>
      <c r="N70" s="556">
        <v>0</v>
      </c>
    </row>
  </sheetData>
  <sheetProtection algorithmName="SHA-512" hashValue="XDlMFHxN8VyA0GgXVOdCgAvlSghb1UkwCytdoW6MG1st0Q1cZPEkr661o76Lbqr4r9dVEm6uAABxt9LQR9qcMA==" saltValue="sTo4uT0Rh4pwe+9bqTwEh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E029-F5FC-41A2-95DD-07DA8C5498E2}">
  <dimension ref="A1:N56"/>
  <sheetViews>
    <sheetView showGridLines="0" zoomScale="85" zoomScaleNormal="85" zoomScaleSheetLayoutView="85" workbookViewId="0">
      <selection activeCell="G19" sqref="G19:H19"/>
    </sheetView>
  </sheetViews>
  <sheetFormatPr defaultColWidth="6.5546875" defaultRowHeight="15.6" x14ac:dyDescent="0.3"/>
  <cols>
    <col min="1" max="1" width="9.6640625" style="429" customWidth="1"/>
    <col min="2" max="2" width="11" style="429" customWidth="1"/>
    <col min="3" max="3" width="16.6640625" style="429" customWidth="1"/>
    <col min="4" max="4" width="8.33203125" style="429" customWidth="1"/>
    <col min="5" max="5" width="5.5546875" style="429" customWidth="1"/>
    <col min="6" max="6" width="8.33203125" style="429" customWidth="1"/>
    <col min="7" max="7" width="4.44140625" style="429" customWidth="1"/>
    <col min="8" max="8" width="8.33203125" style="429" customWidth="1"/>
    <col min="9" max="9" width="7.44140625" style="429" customWidth="1"/>
    <col min="10" max="11" width="3.33203125" style="429" customWidth="1"/>
    <col min="12" max="12" width="10.44140625" style="429" customWidth="1"/>
    <col min="13" max="13" width="3.33203125" style="429" customWidth="1"/>
    <col min="14" max="14" width="7.44140625" style="429" customWidth="1"/>
    <col min="15" max="16384" width="6.5546875" style="429"/>
  </cols>
  <sheetData>
    <row r="1" spans="1:14" x14ac:dyDescent="0.3">
      <c r="A1" s="704" t="s">
        <v>300</v>
      </c>
      <c r="B1" s="705"/>
      <c r="C1" s="705"/>
      <c r="D1" s="705"/>
      <c r="E1" s="705"/>
      <c r="F1" s="705"/>
      <c r="G1" s="705"/>
      <c r="H1" s="706"/>
      <c r="I1" s="428" t="s">
        <v>21</v>
      </c>
      <c r="J1" s="707" t="str">
        <f>IF(ISBLANK('1 Aggregate System'!M1),"",'1 Aggregate System'!M1)</f>
        <v/>
      </c>
      <c r="K1" s="707" t="s">
        <v>302</v>
      </c>
      <c r="L1" s="707" t="s">
        <v>302</v>
      </c>
      <c r="M1" s="707" t="s">
        <v>302</v>
      </c>
      <c r="N1" s="708" t="s">
        <v>302</v>
      </c>
    </row>
    <row r="2" spans="1:14" s="1" customFormat="1" x14ac:dyDescent="0.3">
      <c r="A2" s="709" t="s">
        <v>22</v>
      </c>
      <c r="B2" s="710"/>
      <c r="C2" s="710"/>
      <c r="D2" s="710"/>
      <c r="E2" s="710"/>
      <c r="F2" s="710"/>
      <c r="G2" s="710"/>
      <c r="H2" s="710"/>
      <c r="I2" s="710"/>
      <c r="J2" s="710"/>
      <c r="K2" s="710"/>
      <c r="L2" s="710"/>
      <c r="M2" s="710"/>
      <c r="N2" s="711"/>
    </row>
    <row r="3" spans="1:14" s="1" customFormat="1" x14ac:dyDescent="0.3">
      <c r="A3" s="712" t="s">
        <v>23</v>
      </c>
      <c r="B3" s="713"/>
      <c r="C3" s="713"/>
      <c r="D3" s="713"/>
      <c r="E3" s="714" t="s">
        <v>24</v>
      </c>
      <c r="F3" s="713"/>
      <c r="G3" s="715"/>
      <c r="H3" s="714" t="s">
        <v>25</v>
      </c>
      <c r="I3" s="713"/>
      <c r="J3" s="713"/>
      <c r="K3" s="715"/>
      <c r="L3" s="714" t="s">
        <v>26</v>
      </c>
      <c r="M3" s="713"/>
      <c r="N3" s="716"/>
    </row>
    <row r="4" spans="1:14" s="1" customFormat="1" x14ac:dyDescent="0.3">
      <c r="A4" s="717" t="str">
        <f>IF(ISBLANK('1 Aggregate System'!A4),"",'1 Aggregate System'!A4)</f>
        <v/>
      </c>
      <c r="B4" s="718"/>
      <c r="C4" s="718"/>
      <c r="D4" s="718"/>
      <c r="E4" s="719" t="str">
        <f>IF(ISBLANK('1 Aggregate System'!C4),"",'1 Aggregate System'!C4)</f>
        <v/>
      </c>
      <c r="F4" s="718"/>
      <c r="G4" s="720"/>
      <c r="H4" s="719" t="str">
        <f>IF(ISBLANK('1 Aggregate System'!E4),"",'1 Aggregate System'!E4)</f>
        <v/>
      </c>
      <c r="I4" s="718"/>
      <c r="J4" s="718"/>
      <c r="K4" s="720"/>
      <c r="L4" s="719" t="str">
        <f>IF(ISBLANK('1 Aggregate System'!L4),"",'1 Aggregate System'!L4)</f>
        <v/>
      </c>
      <c r="M4" s="718"/>
      <c r="N4" s="721"/>
    </row>
    <row r="5" spans="1:14" s="1" customFormat="1" x14ac:dyDescent="0.3">
      <c r="A5" s="722" t="s">
        <v>27</v>
      </c>
      <c r="B5" s="723"/>
      <c r="C5" s="723"/>
      <c r="D5" s="723"/>
      <c r="E5" s="724" t="s">
        <v>28</v>
      </c>
      <c r="F5" s="725"/>
      <c r="G5" s="725"/>
      <c r="H5" s="725"/>
      <c r="I5" s="725"/>
      <c r="J5" s="725"/>
      <c r="K5" s="725"/>
      <c r="L5" s="725"/>
      <c r="M5" s="725"/>
      <c r="N5" s="726"/>
    </row>
    <row r="6" spans="1:14" s="1" customFormat="1" x14ac:dyDescent="0.3">
      <c r="A6" s="717" t="str">
        <f>IF(ISBLANK('1 Aggregate System'!A6),"",'1 Aggregate System'!A6)</f>
        <v/>
      </c>
      <c r="B6" s="718"/>
      <c r="C6" s="718"/>
      <c r="D6" s="720"/>
      <c r="E6" s="719" t="str">
        <f>IF(ISBLANK('1 Aggregate System'!E6),"",'1 Aggregate System'!E6)</f>
        <v/>
      </c>
      <c r="F6" s="718"/>
      <c r="G6" s="718"/>
      <c r="H6" s="718"/>
      <c r="I6" s="718"/>
      <c r="J6" s="718"/>
      <c r="K6" s="718"/>
      <c r="L6" s="718"/>
      <c r="M6" s="718"/>
      <c r="N6" s="721"/>
    </row>
    <row r="7" spans="1:14" s="1" customFormat="1" x14ac:dyDescent="0.3">
      <c r="A7" s="709" t="s">
        <v>29</v>
      </c>
      <c r="B7" s="710"/>
      <c r="C7" s="710"/>
      <c r="D7" s="710"/>
      <c r="E7" s="714" t="s">
        <v>30</v>
      </c>
      <c r="F7" s="713"/>
      <c r="G7" s="713"/>
      <c r="H7" s="713"/>
      <c r="I7" s="713"/>
      <c r="J7" s="713"/>
      <c r="K7" s="713"/>
      <c r="L7" s="713"/>
      <c r="M7" s="713"/>
      <c r="N7" s="716"/>
    </row>
    <row r="8" spans="1:14" s="1" customFormat="1" ht="16.2" thickBot="1" x14ac:dyDescent="0.35">
      <c r="A8" s="727" t="str">
        <f>IF(ISBLANK('1 Aggregate System'!A8),"",'1 Aggregate System'!A8)</f>
        <v/>
      </c>
      <c r="B8" s="728"/>
      <c r="C8" s="728"/>
      <c r="D8" s="728"/>
      <c r="E8" s="729" t="str">
        <f>IF(ISBLANK('1 Aggregate System'!E8),"",'1 Aggregate System'!E8)</f>
        <v/>
      </c>
      <c r="F8" s="730"/>
      <c r="G8" s="730"/>
      <c r="H8" s="730"/>
      <c r="I8" s="730"/>
      <c r="J8" s="730"/>
      <c r="K8" s="730"/>
      <c r="L8" s="730"/>
      <c r="M8" s="730"/>
      <c r="N8" s="731"/>
    </row>
    <row r="9" spans="1:14" s="1" customFormat="1" ht="16.2" thickBot="1" x14ac:dyDescent="0.35">
      <c r="A9" s="430"/>
      <c r="B9" s="430"/>
      <c r="C9" s="430"/>
      <c r="D9" s="430"/>
      <c r="E9" s="430"/>
      <c r="F9" s="430"/>
      <c r="G9" s="430"/>
      <c r="H9" s="430"/>
      <c r="I9" s="430"/>
      <c r="J9" s="430"/>
      <c r="K9" s="430"/>
      <c r="L9" s="430"/>
      <c r="M9" s="430"/>
    </row>
    <row r="10" spans="1:14" x14ac:dyDescent="0.3">
      <c r="A10" s="733" t="s">
        <v>161</v>
      </c>
      <c r="B10" s="734"/>
      <c r="C10" s="734"/>
      <c r="D10" s="735"/>
      <c r="E10" s="736"/>
      <c r="F10" s="736"/>
      <c r="G10" s="737"/>
      <c r="L10" s="738" t="str">
        <f>'1 Aggregate System'!N7</f>
        <v>WisDOT Version</v>
      </c>
      <c r="M10" s="738"/>
      <c r="N10" s="738"/>
    </row>
    <row r="11" spans="1:14" ht="15.6" customHeight="1" x14ac:dyDescent="0.3">
      <c r="A11" s="739" t="s">
        <v>162</v>
      </c>
      <c r="B11" s="740"/>
      <c r="C11" s="740"/>
      <c r="D11" s="741"/>
      <c r="E11" s="741"/>
      <c r="F11" s="741"/>
      <c r="G11" s="742"/>
      <c r="L11" s="743">
        <f>'1 Aggregate System'!P7</f>
        <v>4.5</v>
      </c>
      <c r="M11" s="743"/>
      <c r="N11" s="743"/>
    </row>
    <row r="12" spans="1:14" x14ac:dyDescent="0.3">
      <c r="A12" s="739" t="s">
        <v>163</v>
      </c>
      <c r="B12" s="740"/>
      <c r="C12" s="740"/>
      <c r="D12" s="744" t="s">
        <v>164</v>
      </c>
      <c r="E12" s="744"/>
      <c r="F12" s="744"/>
      <c r="G12" s="745"/>
      <c r="H12" s="431"/>
      <c r="L12" s="746" t="str">
        <f>'1 Aggregate System'!O8</f>
        <v>3.2.2022</v>
      </c>
      <c r="M12" s="746"/>
      <c r="N12" s="746"/>
    </row>
    <row r="13" spans="1:14" ht="16.2" thickBot="1" x14ac:dyDescent="0.35">
      <c r="A13" s="747" t="s">
        <v>165</v>
      </c>
      <c r="B13" s="748"/>
      <c r="C13" s="748"/>
      <c r="D13" s="749" t="s">
        <v>166</v>
      </c>
      <c r="E13" s="749"/>
      <c r="F13" s="749"/>
      <c r="G13" s="750"/>
      <c r="H13" s="431"/>
      <c r="J13" s="432"/>
      <c r="K13" s="432"/>
      <c r="L13" s="433"/>
      <c r="M13" s="433"/>
    </row>
    <row r="14" spans="1:14" ht="42" customHeight="1" thickBot="1" x14ac:dyDescent="0.35">
      <c r="G14" s="732" t="s">
        <v>241</v>
      </c>
      <c r="H14" s="732"/>
      <c r="I14" s="732"/>
      <c r="J14" s="732"/>
      <c r="K14" s="732"/>
      <c r="L14" s="732"/>
      <c r="M14" s="433"/>
    </row>
    <row r="15" spans="1:14" ht="16.2" thickBot="1" x14ac:dyDescent="0.35">
      <c r="G15" s="751">
        <v>1</v>
      </c>
      <c r="H15" s="752"/>
      <c r="I15" s="752">
        <v>2</v>
      </c>
      <c r="J15" s="752"/>
      <c r="K15" s="752">
        <v>3</v>
      </c>
      <c r="L15" s="753"/>
      <c r="M15" s="434"/>
      <c r="N15" s="435"/>
    </row>
    <row r="16" spans="1:14" x14ac:dyDescent="0.3">
      <c r="A16" s="436" t="s">
        <v>167</v>
      </c>
      <c r="B16" s="437"/>
      <c r="C16" s="437"/>
      <c r="D16" s="437"/>
      <c r="E16" s="437"/>
      <c r="F16" s="438"/>
      <c r="G16" s="754"/>
      <c r="H16" s="755"/>
      <c r="I16" s="754"/>
      <c r="J16" s="755"/>
      <c r="K16" s="754"/>
      <c r="L16" s="756"/>
      <c r="M16" s="439"/>
      <c r="N16" s="435"/>
    </row>
    <row r="17" spans="1:14" x14ac:dyDescent="0.3">
      <c r="A17" s="440" t="s">
        <v>240</v>
      </c>
      <c r="B17" s="441"/>
      <c r="C17" s="441"/>
      <c r="D17" s="441"/>
      <c r="E17" s="441"/>
      <c r="F17" s="442"/>
      <c r="G17" s="757"/>
      <c r="H17" s="758"/>
      <c r="I17" s="759">
        <f>G17</f>
        <v>0</v>
      </c>
      <c r="J17" s="760"/>
      <c r="K17" s="759">
        <f>G17</f>
        <v>0</v>
      </c>
      <c r="L17" s="761"/>
      <c r="M17" s="439"/>
      <c r="N17" s="435"/>
    </row>
    <row r="18" spans="1:14" ht="16.2" thickBot="1" x14ac:dyDescent="0.35">
      <c r="A18" s="440" t="s">
        <v>168</v>
      </c>
      <c r="B18" s="441"/>
      <c r="C18" s="441"/>
      <c r="D18" s="441"/>
      <c r="E18" s="441"/>
      <c r="F18" s="442"/>
      <c r="G18" s="762">
        <f>G16-G17</f>
        <v>0</v>
      </c>
      <c r="H18" s="763"/>
      <c r="I18" s="764">
        <f>I16-I17</f>
        <v>0</v>
      </c>
      <c r="J18" s="763"/>
      <c r="K18" s="764">
        <f>K16-K17</f>
        <v>0</v>
      </c>
      <c r="L18" s="763"/>
      <c r="M18" s="443"/>
      <c r="N18" s="444"/>
    </row>
    <row r="19" spans="1:14" x14ac:dyDescent="0.3">
      <c r="A19" s="440" t="s">
        <v>169</v>
      </c>
      <c r="B19" s="441"/>
      <c r="C19" s="441"/>
      <c r="D19" s="441"/>
      <c r="E19" s="441"/>
      <c r="F19" s="442"/>
      <c r="G19" s="765"/>
      <c r="H19" s="766"/>
      <c r="I19" s="767">
        <f>G19</f>
        <v>0</v>
      </c>
      <c r="J19" s="763"/>
      <c r="K19" s="767">
        <f>G19</f>
        <v>0</v>
      </c>
      <c r="L19" s="763"/>
      <c r="M19" s="768" t="s">
        <v>170</v>
      </c>
      <c r="N19" s="769"/>
    </row>
    <row r="20" spans="1:14" x14ac:dyDescent="0.3">
      <c r="A20" s="440" t="s">
        <v>171</v>
      </c>
      <c r="B20" s="441"/>
      <c r="C20" s="441"/>
      <c r="D20" s="445"/>
      <c r="E20" s="445"/>
      <c r="F20" s="446"/>
      <c r="G20" s="770" t="str">
        <f>IFERROR(G18/G19,"")</f>
        <v/>
      </c>
      <c r="H20" s="771"/>
      <c r="I20" s="770" t="str">
        <f>IFERROR(I18/I19,"")</f>
        <v/>
      </c>
      <c r="J20" s="771"/>
      <c r="K20" s="770" t="str">
        <f>IFERROR(K18/K19,"")</f>
        <v/>
      </c>
      <c r="L20" s="771"/>
      <c r="M20" s="770" t="str">
        <f>IFERROR(AVERAGE(G20:L20),"")</f>
        <v/>
      </c>
      <c r="N20" s="772"/>
    </row>
    <row r="21" spans="1:14" x14ac:dyDescent="0.3">
      <c r="A21" s="440" t="s">
        <v>172</v>
      </c>
      <c r="B21" s="441"/>
      <c r="C21" s="441"/>
      <c r="D21" s="441"/>
      <c r="E21" s="441"/>
      <c r="F21" s="447"/>
      <c r="G21" s="775" t="str">
        <f>IFERROR(J34,"")</f>
        <v/>
      </c>
      <c r="H21" s="776"/>
      <c r="I21" s="775" t="str">
        <f>IFERROR(J34,"")</f>
        <v/>
      </c>
      <c r="J21" s="776"/>
      <c r="K21" s="775" t="str">
        <f>IFERROR(J34,"")</f>
        <v/>
      </c>
      <c r="L21" s="776"/>
      <c r="M21" s="762"/>
      <c r="N21" s="777"/>
    </row>
    <row r="22" spans="1:14" ht="16.2" thickBot="1" x14ac:dyDescent="0.35">
      <c r="A22" s="448" t="s">
        <v>173</v>
      </c>
      <c r="B22" s="449"/>
      <c r="C22" s="449"/>
      <c r="D22" s="449"/>
      <c r="E22" s="449"/>
      <c r="F22" s="450"/>
      <c r="G22" s="778" t="str">
        <f>IFERROR(100*((G21*62.3)-G20)/(G21*62.3),"")</f>
        <v/>
      </c>
      <c r="H22" s="779"/>
      <c r="I22" s="778" t="str">
        <f>IFERROR(100*((I21*62.3)-I20)/(I21*62.3),"")</f>
        <v/>
      </c>
      <c r="J22" s="779"/>
      <c r="K22" s="778" t="str">
        <f>IFERROR(100*((K21*62.3)-K20)/(K21*62.3),"")</f>
        <v/>
      </c>
      <c r="L22" s="779"/>
      <c r="M22" s="778" t="str">
        <f>IFERROR(AVERAGE(G22:L22),"")</f>
        <v/>
      </c>
      <c r="N22" s="780"/>
    </row>
    <row r="23" spans="1:14" ht="16.2" thickBot="1" x14ac:dyDescent="0.35"/>
    <row r="24" spans="1:14" x14ac:dyDescent="0.3">
      <c r="A24" s="781" t="s">
        <v>174</v>
      </c>
      <c r="B24" s="782"/>
      <c r="C24" s="782"/>
      <c r="D24" s="451" t="s">
        <v>175</v>
      </c>
    </row>
    <row r="25" spans="1:14" ht="16.2" thickBot="1" x14ac:dyDescent="0.35">
      <c r="A25" s="783" t="s">
        <v>176</v>
      </c>
      <c r="B25" s="784"/>
      <c r="C25" s="784"/>
      <c r="D25" s="452" t="s">
        <v>177</v>
      </c>
    </row>
    <row r="26" spans="1:14" ht="16.2" thickBot="1" x14ac:dyDescent="0.35"/>
    <row r="27" spans="1:14" ht="18" x14ac:dyDescent="0.4">
      <c r="A27" s="785" t="s">
        <v>178</v>
      </c>
      <c r="B27" s="786"/>
      <c r="C27" s="786"/>
      <c r="D27" s="789">
        <v>1</v>
      </c>
      <c r="E27" s="789"/>
      <c r="F27" s="789"/>
      <c r="G27" s="789"/>
      <c r="H27" s="769"/>
      <c r="J27" s="433" t="s">
        <v>179</v>
      </c>
      <c r="K27" s="453" t="s">
        <v>180</v>
      </c>
      <c r="L27" s="454"/>
    </row>
    <row r="28" spans="1:14" ht="18" x14ac:dyDescent="0.4">
      <c r="A28" s="787"/>
      <c r="B28" s="788"/>
      <c r="C28" s="788"/>
      <c r="D28" s="445" t="s">
        <v>179</v>
      </c>
      <c r="E28" s="455" t="s">
        <v>181</v>
      </c>
      <c r="F28" s="445" t="s">
        <v>182</v>
      </c>
      <c r="G28" s="456" t="s">
        <v>181</v>
      </c>
      <c r="H28" s="457" t="s">
        <v>183</v>
      </c>
      <c r="J28" s="433" t="s">
        <v>182</v>
      </c>
      <c r="K28" s="453" t="s">
        <v>180</v>
      </c>
      <c r="L28" s="454"/>
    </row>
    <row r="29" spans="1:14" ht="18.600000000000001" thickBot="1" x14ac:dyDescent="0.45">
      <c r="A29" s="790" t="s">
        <v>184</v>
      </c>
      <c r="B29" s="791"/>
      <c r="C29" s="791"/>
      <c r="D29" s="458" t="s">
        <v>185</v>
      </c>
      <c r="E29" s="459"/>
      <c r="F29" s="458" t="s">
        <v>186</v>
      </c>
      <c r="G29" s="444"/>
      <c r="H29" s="452" t="s">
        <v>187</v>
      </c>
      <c r="J29" s="433" t="s">
        <v>188</v>
      </c>
      <c r="K29" s="453" t="s">
        <v>180</v>
      </c>
      <c r="L29" s="454"/>
    </row>
    <row r="30" spans="1:14" ht="18" x14ac:dyDescent="0.3">
      <c r="A30" s="460" t="s">
        <v>189</v>
      </c>
      <c r="B30" s="461"/>
      <c r="C30" s="461"/>
      <c r="D30" s="461"/>
      <c r="E30" s="461"/>
      <c r="F30" s="461"/>
      <c r="G30" s="461"/>
      <c r="H30" s="462"/>
      <c r="J30" s="434" t="s">
        <v>190</v>
      </c>
      <c r="K30" s="463" t="s">
        <v>180</v>
      </c>
      <c r="L30" s="464"/>
      <c r="M30" s="465"/>
    </row>
    <row r="31" spans="1:14" ht="18" x14ac:dyDescent="0.4">
      <c r="A31" s="773" t="s">
        <v>191</v>
      </c>
      <c r="B31" s="774"/>
      <c r="C31" s="429" t="s">
        <v>192</v>
      </c>
      <c r="H31" s="466"/>
      <c r="J31" s="434" t="s">
        <v>193</v>
      </c>
      <c r="K31" s="463" t="s">
        <v>180</v>
      </c>
      <c r="L31" s="464"/>
      <c r="M31" s="465"/>
    </row>
    <row r="32" spans="1:14" ht="18.600000000000001" thickBot="1" x14ac:dyDescent="0.45">
      <c r="A32" s="792" t="s">
        <v>194</v>
      </c>
      <c r="B32" s="793"/>
      <c r="C32" s="449" t="s">
        <v>195</v>
      </c>
      <c r="D32" s="449"/>
      <c r="E32" s="449"/>
      <c r="F32" s="449"/>
      <c r="G32" s="449"/>
      <c r="H32" s="467"/>
      <c r="J32" s="434" t="s">
        <v>196</v>
      </c>
      <c r="K32" s="463" t="s">
        <v>180</v>
      </c>
      <c r="L32" s="464"/>
      <c r="M32" s="465"/>
    </row>
    <row r="33" spans="1:13" ht="16.2" thickBot="1" x14ac:dyDescent="0.35">
      <c r="L33" s="468"/>
    </row>
    <row r="34" spans="1:13" x14ac:dyDescent="0.3">
      <c r="A34" s="794" t="s">
        <v>197</v>
      </c>
      <c r="B34" s="795"/>
      <c r="C34" s="795"/>
      <c r="D34" s="789">
        <v>1</v>
      </c>
      <c r="E34" s="789"/>
      <c r="F34" s="789"/>
      <c r="G34" s="789"/>
      <c r="H34" s="789"/>
      <c r="I34" s="786" t="s">
        <v>180</v>
      </c>
      <c r="J34" s="797" t="e">
        <f>1/((L27/(L30*100))+(L28/(L31*100))+(L29/(L32*100)))</f>
        <v>#DIV/0!</v>
      </c>
      <c r="K34" s="798"/>
      <c r="L34" s="799"/>
    </row>
    <row r="35" spans="1:13" x14ac:dyDescent="0.3">
      <c r="A35" s="806" t="s">
        <v>184</v>
      </c>
      <c r="B35" s="807"/>
      <c r="C35" s="807"/>
      <c r="D35" s="469">
        <f>L27</f>
        <v>0</v>
      </c>
      <c r="E35" s="455" t="s">
        <v>181</v>
      </c>
      <c r="F35" s="445">
        <f>L28</f>
        <v>0</v>
      </c>
      <c r="G35" s="455" t="s">
        <v>181</v>
      </c>
      <c r="H35" s="445">
        <f>L29</f>
        <v>0</v>
      </c>
      <c r="I35" s="788"/>
      <c r="J35" s="800"/>
      <c r="K35" s="801"/>
      <c r="L35" s="802"/>
    </row>
    <row r="36" spans="1:13" ht="16.2" thickBot="1" x14ac:dyDescent="0.35">
      <c r="A36" s="448"/>
      <c r="B36" s="449"/>
      <c r="C36" s="449"/>
      <c r="D36" s="458">
        <f>L30*100</f>
        <v>0</v>
      </c>
      <c r="E36" s="459"/>
      <c r="F36" s="458">
        <f>L31*100</f>
        <v>0</v>
      </c>
      <c r="G36" s="459"/>
      <c r="H36" s="458">
        <f>L32*100</f>
        <v>0</v>
      </c>
      <c r="I36" s="796"/>
      <c r="J36" s="803"/>
      <c r="K36" s="804"/>
      <c r="L36" s="805"/>
    </row>
    <row r="37" spans="1:13" ht="16.2" thickBot="1" x14ac:dyDescent="0.35">
      <c r="G37" s="470"/>
      <c r="H37" s="471"/>
      <c r="I37" s="470"/>
      <c r="J37" s="471"/>
      <c r="K37" s="471"/>
      <c r="L37" s="470"/>
      <c r="M37" s="470"/>
    </row>
    <row r="38" spans="1:13" x14ac:dyDescent="0.3">
      <c r="A38" s="794" t="s">
        <v>198</v>
      </c>
      <c r="B38" s="795"/>
      <c r="C38" s="808" t="s">
        <v>199</v>
      </c>
      <c r="D38" s="808"/>
      <c r="E38" s="809" t="str">
        <f>M22</f>
        <v/>
      </c>
      <c r="F38" s="810"/>
    </row>
    <row r="39" spans="1:13" ht="16.2" thickBot="1" x14ac:dyDescent="0.35">
      <c r="A39" s="783" t="s">
        <v>200</v>
      </c>
      <c r="B39" s="784"/>
      <c r="C39" s="813" t="s">
        <v>201</v>
      </c>
      <c r="D39" s="813"/>
      <c r="E39" s="811"/>
      <c r="F39" s="812"/>
    </row>
    <row r="43" spans="1:13" x14ac:dyDescent="0.3">
      <c r="I43" s="433"/>
      <c r="J43" s="433"/>
      <c r="K43" s="433"/>
      <c r="L43" s="433"/>
      <c r="M43" s="433"/>
    </row>
    <row r="45" spans="1:13" x14ac:dyDescent="0.3">
      <c r="I45" s="433"/>
      <c r="J45" s="433"/>
      <c r="K45" s="433"/>
      <c r="L45" s="433"/>
      <c r="M45" s="433"/>
    </row>
    <row r="49" spans="5:14" x14ac:dyDescent="0.3">
      <c r="E49" s="470"/>
      <c r="F49" s="470"/>
      <c r="G49" s="470"/>
      <c r="H49" s="470"/>
      <c r="I49" s="470"/>
      <c r="J49" s="470"/>
      <c r="K49" s="470"/>
      <c r="L49" s="470"/>
      <c r="M49" s="470"/>
      <c r="N49" s="470"/>
    </row>
    <row r="50" spans="5:14" x14ac:dyDescent="0.3">
      <c r="G50" s="433"/>
      <c r="H50" s="433"/>
      <c r="I50" s="470"/>
      <c r="J50" s="470"/>
      <c r="K50" s="470"/>
      <c r="L50" s="470"/>
      <c r="M50" s="470"/>
    </row>
    <row r="51" spans="5:14" x14ac:dyDescent="0.3">
      <c r="I51" s="470"/>
      <c r="J51" s="470"/>
      <c r="K51" s="470"/>
      <c r="L51" s="470"/>
      <c r="M51" s="470"/>
    </row>
    <row r="53" spans="5:14" x14ac:dyDescent="0.3">
      <c r="G53" s="433"/>
      <c r="H53" s="433"/>
      <c r="I53" s="470"/>
      <c r="J53" s="470"/>
      <c r="K53" s="470"/>
    </row>
    <row r="54" spans="5:14" x14ac:dyDescent="0.3">
      <c r="I54" s="470"/>
      <c r="J54" s="470"/>
      <c r="K54" s="470"/>
    </row>
    <row r="56" spans="5:14" x14ac:dyDescent="0.3">
      <c r="G56" s="433"/>
      <c r="H56" s="433"/>
    </row>
  </sheetData>
  <sheetProtection algorithmName="SHA-512" hashValue="e5oXOSzpck4KZw0M1E098kRC6qDaGq5LyRAbv2IGewCUrf7nZ5AUxo6tLMiF3/DuWHVoXFhMywswMRuzOOyoZw==" saltValue="WpyJNOq2Vk5enykwFjeI5Q==" spinCount="100000" sheet="1" selectLockedCells="1"/>
  <mergeCells count="76">
    <mergeCell ref="A38:B38"/>
    <mergeCell ref="C38:D38"/>
    <mergeCell ref="E38:F39"/>
    <mergeCell ref="A39:B39"/>
    <mergeCell ref="C39:D39"/>
    <mergeCell ref="A32:B32"/>
    <mergeCell ref="A34:C34"/>
    <mergeCell ref="D34:H34"/>
    <mergeCell ref="I34:I36"/>
    <mergeCell ref="J34:L36"/>
    <mergeCell ref="A35:C35"/>
    <mergeCell ref="A31:B31"/>
    <mergeCell ref="G21:H21"/>
    <mergeCell ref="I21:J21"/>
    <mergeCell ref="K21:L21"/>
    <mergeCell ref="M21:N21"/>
    <mergeCell ref="G22:H22"/>
    <mergeCell ref="I22:J22"/>
    <mergeCell ref="K22:L22"/>
    <mergeCell ref="M22:N22"/>
    <mergeCell ref="A24:C24"/>
    <mergeCell ref="A25:C25"/>
    <mergeCell ref="A27:C28"/>
    <mergeCell ref="D27:H27"/>
    <mergeCell ref="A29:C29"/>
    <mergeCell ref="G19:H19"/>
    <mergeCell ref="I19:J19"/>
    <mergeCell ref="K19:L19"/>
    <mergeCell ref="M19:N19"/>
    <mergeCell ref="G20:H20"/>
    <mergeCell ref="I20:J20"/>
    <mergeCell ref="K20:L20"/>
    <mergeCell ref="M20:N20"/>
    <mergeCell ref="G17:H17"/>
    <mergeCell ref="I17:J17"/>
    <mergeCell ref="K17:L17"/>
    <mergeCell ref="G18:H18"/>
    <mergeCell ref="I18:J18"/>
    <mergeCell ref="K18:L18"/>
    <mergeCell ref="G15:H15"/>
    <mergeCell ref="I15:J15"/>
    <mergeCell ref="K15:L15"/>
    <mergeCell ref="G16:H16"/>
    <mergeCell ref="I16:J16"/>
    <mergeCell ref="K16:L16"/>
    <mergeCell ref="G14:L14"/>
    <mergeCell ref="A10:C10"/>
    <mergeCell ref="D10:G10"/>
    <mergeCell ref="L10:N10"/>
    <mergeCell ref="A11:C11"/>
    <mergeCell ref="D11:G11"/>
    <mergeCell ref="L11:N11"/>
    <mergeCell ref="A12:C12"/>
    <mergeCell ref="D12:G12"/>
    <mergeCell ref="L12:N12"/>
    <mergeCell ref="A13:C13"/>
    <mergeCell ref="D13:G13"/>
    <mergeCell ref="A6:D6"/>
    <mergeCell ref="E6:N6"/>
    <mergeCell ref="A7:D7"/>
    <mergeCell ref="E7:N7"/>
    <mergeCell ref="A8:D8"/>
    <mergeCell ref="E8:N8"/>
    <mergeCell ref="A4:D4"/>
    <mergeCell ref="E4:G4"/>
    <mergeCell ref="H4:K4"/>
    <mergeCell ref="L4:N4"/>
    <mergeCell ref="A5:D5"/>
    <mergeCell ref="E5:N5"/>
    <mergeCell ref="A1:H1"/>
    <mergeCell ref="J1:N1"/>
    <mergeCell ref="A2:N2"/>
    <mergeCell ref="A3:D3"/>
    <mergeCell ref="E3:G3"/>
    <mergeCell ref="H3:K3"/>
    <mergeCell ref="L3:N3"/>
  </mergeCells>
  <pageMargins left="0.7" right="0.7" top="0.75" bottom="0.75" header="0.3" footer="0.3"/>
  <pageSetup scale="81" orientation="portrait"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A4E8-B53C-4611-B693-E7F1D5BE2C9B}">
  <dimension ref="A1:Z140"/>
  <sheetViews>
    <sheetView showGridLines="0" zoomScaleNormal="100" zoomScaleSheetLayoutView="85" workbookViewId="0">
      <selection activeCell="L31" sqref="L31"/>
    </sheetView>
  </sheetViews>
  <sheetFormatPr defaultColWidth="9.33203125" defaultRowHeight="15.6" x14ac:dyDescent="0.3"/>
  <cols>
    <col min="1" max="1" width="16.5546875" style="134" customWidth="1"/>
    <col min="2" max="2" width="10.6640625" style="134" customWidth="1"/>
    <col min="3" max="12" width="13.5546875" style="134" customWidth="1"/>
    <col min="13" max="17" width="13.6640625" style="134" customWidth="1"/>
    <col min="18" max="18" width="12.6640625" style="134" bestFit="1" customWidth="1"/>
    <col min="19" max="19" width="9.33203125" style="134" bestFit="1" customWidth="1"/>
    <col min="20" max="20" width="14" style="134" customWidth="1"/>
    <col min="21" max="21" width="11.6640625" style="134" customWidth="1"/>
    <col min="22" max="22" width="9.33203125" style="134" bestFit="1" customWidth="1"/>
    <col min="23" max="23" width="11.5546875" style="134" customWidth="1"/>
    <col min="24" max="24" width="9.33203125" style="134"/>
    <col min="25" max="26" width="9.33203125" style="134" bestFit="1" customWidth="1"/>
    <col min="27" max="16384" width="9.33203125" style="134"/>
  </cols>
  <sheetData>
    <row r="1" spans="1:21" ht="15.6" customHeight="1" thickBot="1" x14ac:dyDescent="0.35">
      <c r="D1" s="359"/>
      <c r="E1" s="138"/>
      <c r="G1" s="814" t="s">
        <v>234</v>
      </c>
      <c r="H1" s="815"/>
      <c r="I1" s="815"/>
      <c r="J1" s="816"/>
      <c r="K1" s="138"/>
      <c r="L1" s="138"/>
      <c r="M1" s="138"/>
      <c r="N1" s="138"/>
      <c r="O1" s="138"/>
      <c r="P1" s="138"/>
      <c r="Q1" s="138"/>
      <c r="R1" s="138"/>
      <c r="S1" s="138"/>
      <c r="T1" s="139"/>
    </row>
    <row r="2" spans="1:21" ht="15.6" customHeight="1" x14ac:dyDescent="0.3">
      <c r="A2" s="360"/>
      <c r="B2" s="817" t="str">
        <f>'1 Aggregate System'!N7</f>
        <v>WisDOT Version</v>
      </c>
      <c r="C2" s="817"/>
      <c r="D2" s="361"/>
      <c r="E2" s="138"/>
      <c r="G2" s="362" t="s">
        <v>239</v>
      </c>
      <c r="H2" s="363"/>
      <c r="I2" s="363"/>
      <c r="J2" s="364">
        <f>'1 Aggregate System'!M32/'1 Aggregate System'!M34*100</f>
        <v>100</v>
      </c>
      <c r="N2" s="138"/>
      <c r="O2" s="138"/>
      <c r="P2" s="138"/>
      <c r="Q2" s="138"/>
      <c r="R2" s="138"/>
      <c r="T2" s="139"/>
      <c r="U2" s="139"/>
    </row>
    <row r="3" spans="1:21" x14ac:dyDescent="0.3">
      <c r="A3" s="198"/>
      <c r="B3" s="818">
        <f>'1 Aggregate System'!P7</f>
        <v>4.5</v>
      </c>
      <c r="C3" s="818"/>
      <c r="D3" s="361"/>
      <c r="E3" s="138"/>
      <c r="G3" s="152" t="s">
        <v>231</v>
      </c>
      <c r="J3" s="365">
        <f>'1 Aggregate System'!L34</f>
        <v>0</v>
      </c>
      <c r="Q3" s="138"/>
      <c r="S3" s="138"/>
    </row>
    <row r="4" spans="1:21" x14ac:dyDescent="0.3">
      <c r="A4" s="366"/>
      <c r="B4" s="701" t="str">
        <f>'1 Aggregate System'!O8</f>
        <v>3.2.2022</v>
      </c>
      <c r="C4" s="701"/>
      <c r="G4" s="152" t="s">
        <v>232</v>
      </c>
      <c r="J4" s="365" t="e">
        <f>IF('1 Aggregate System'!C18&lt;565,0,('1 Aggregate System'!C18-565)/94)*2.5</f>
        <v>#VALUE!</v>
      </c>
    </row>
    <row r="5" spans="1:21" ht="16.2" thickBot="1" x14ac:dyDescent="0.35">
      <c r="A5" s="198"/>
      <c r="C5" s="168"/>
      <c r="F5" s="367"/>
      <c r="G5" s="368" t="s">
        <v>233</v>
      </c>
      <c r="H5" s="369"/>
      <c r="I5" s="370"/>
      <c r="J5" s="371" t="e">
        <f>J4+J3</f>
        <v>#VALUE!</v>
      </c>
    </row>
    <row r="6" spans="1:21" x14ac:dyDescent="0.3">
      <c r="A6" s="199"/>
      <c r="B6" s="199"/>
      <c r="C6" s="197"/>
      <c r="G6" s="372"/>
    </row>
    <row r="7" spans="1:21" x14ac:dyDescent="0.3">
      <c r="A7" s="118"/>
      <c r="B7" s="199"/>
      <c r="C7" s="197"/>
      <c r="G7" s="372"/>
    </row>
    <row r="28" spans="2:3" x14ac:dyDescent="0.3">
      <c r="B28" s="214"/>
      <c r="C28" s="212"/>
    </row>
    <row r="29" spans="2:3" x14ac:dyDescent="0.3">
      <c r="C29" s="212"/>
    </row>
    <row r="71" spans="4:6" x14ac:dyDescent="0.3">
      <c r="D71" s="206"/>
      <c r="E71" s="207"/>
      <c r="F71" s="208"/>
    </row>
    <row r="72" spans="4:6" x14ac:dyDescent="0.3">
      <c r="D72" s="206"/>
      <c r="E72" s="207"/>
      <c r="F72" s="208"/>
    </row>
    <row r="73" spans="4:6" x14ac:dyDescent="0.3">
      <c r="D73" s="206"/>
      <c r="E73" s="207"/>
      <c r="F73" s="208"/>
    </row>
    <row r="74" spans="4:6" x14ac:dyDescent="0.3">
      <c r="D74" s="206"/>
      <c r="E74" s="207"/>
      <c r="F74" s="208"/>
    </row>
    <row r="75" spans="4:6" x14ac:dyDescent="0.3">
      <c r="D75" s="206"/>
      <c r="E75" s="207"/>
      <c r="F75" s="208"/>
    </row>
    <row r="76" spans="4:6" x14ac:dyDescent="0.3">
      <c r="D76" s="206"/>
      <c r="E76" s="207"/>
      <c r="F76" s="208"/>
    </row>
    <row r="77" spans="4:6" x14ac:dyDescent="0.3">
      <c r="D77" s="206"/>
      <c r="E77" s="207"/>
      <c r="F77" s="208"/>
    </row>
    <row r="82" spans="2:4" x14ac:dyDescent="0.3">
      <c r="B82" s="209"/>
      <c r="C82" s="210"/>
      <c r="D82" s="210"/>
    </row>
    <row r="83" spans="2:4" x14ac:dyDescent="0.3">
      <c r="B83" s="209"/>
      <c r="C83" s="210"/>
      <c r="D83" s="210"/>
    </row>
    <row r="84" spans="2:4" x14ac:dyDescent="0.3">
      <c r="B84" s="209"/>
      <c r="C84" s="210"/>
      <c r="D84" s="210"/>
    </row>
    <row r="85" spans="2:4" x14ac:dyDescent="0.3">
      <c r="B85" s="209"/>
      <c r="C85" s="210"/>
      <c r="D85" s="210"/>
    </row>
    <row r="86" spans="2:4" x14ac:dyDescent="0.3">
      <c r="B86" s="209"/>
      <c r="C86" s="210"/>
      <c r="D86" s="210"/>
    </row>
    <row r="87" spans="2:4" x14ac:dyDescent="0.3">
      <c r="B87" s="209"/>
      <c r="C87" s="210"/>
      <c r="D87" s="210"/>
    </row>
    <row r="88" spans="2:4" x14ac:dyDescent="0.3">
      <c r="B88" s="209"/>
      <c r="C88" s="211"/>
      <c r="D88" s="212"/>
    </row>
    <row r="89" spans="2:4" x14ac:dyDescent="0.3">
      <c r="C89" s="211"/>
      <c r="D89" s="212"/>
    </row>
    <row r="90" spans="2:4" x14ac:dyDescent="0.3">
      <c r="C90" s="211"/>
      <c r="D90" s="212"/>
    </row>
    <row r="91" spans="2:4" x14ac:dyDescent="0.3">
      <c r="C91" s="211"/>
      <c r="D91" s="212"/>
    </row>
    <row r="92" spans="2:4" x14ac:dyDescent="0.3">
      <c r="C92" s="211"/>
      <c r="D92" s="212"/>
    </row>
    <row r="93" spans="2:4" x14ac:dyDescent="0.3">
      <c r="C93" s="211"/>
      <c r="D93" s="212"/>
    </row>
    <row r="94" spans="2:4" x14ac:dyDescent="0.3">
      <c r="C94" s="211"/>
      <c r="D94" s="212"/>
    </row>
    <row r="95" spans="2:4" x14ac:dyDescent="0.3">
      <c r="C95" s="211"/>
      <c r="D95" s="212"/>
    </row>
    <row r="96" spans="2:4" x14ac:dyDescent="0.3">
      <c r="C96" s="211"/>
      <c r="D96" s="212"/>
    </row>
    <row r="97" spans="3:20" x14ac:dyDescent="0.3">
      <c r="C97" s="211"/>
      <c r="D97" s="212"/>
    </row>
    <row r="99" spans="3:20" x14ac:dyDescent="0.3">
      <c r="E99" s="213"/>
    </row>
    <row r="100" spans="3:20" x14ac:dyDescent="0.3">
      <c r="D100" s="214"/>
      <c r="E100" s="213"/>
      <c r="S100" s="213"/>
      <c r="T100" s="214"/>
    </row>
    <row r="101" spans="3:20" x14ac:dyDescent="0.3">
      <c r="D101" s="214"/>
      <c r="E101" s="213"/>
      <c r="S101" s="213"/>
      <c r="T101" s="214"/>
    </row>
    <row r="102" spans="3:20" x14ac:dyDescent="0.3">
      <c r="D102" s="214"/>
      <c r="E102" s="213"/>
      <c r="S102" s="213"/>
      <c r="T102" s="214"/>
    </row>
    <row r="103" spans="3:20" x14ac:dyDescent="0.3">
      <c r="D103" s="214"/>
      <c r="E103" s="213"/>
      <c r="S103" s="213"/>
      <c r="T103" s="214"/>
    </row>
    <row r="104" spans="3:20" x14ac:dyDescent="0.3">
      <c r="D104" s="214"/>
      <c r="E104" s="213"/>
      <c r="S104" s="213"/>
      <c r="T104" s="214"/>
    </row>
    <row r="105" spans="3:20" x14ac:dyDescent="0.3">
      <c r="D105" s="214"/>
      <c r="E105" s="213"/>
      <c r="S105" s="213"/>
      <c r="T105" s="214"/>
    </row>
    <row r="106" spans="3:20" x14ac:dyDescent="0.3">
      <c r="D106" s="214"/>
      <c r="S106" s="213"/>
      <c r="T106" s="214"/>
    </row>
    <row r="107" spans="3:20" x14ac:dyDescent="0.3">
      <c r="D107" s="214"/>
    </row>
    <row r="108" spans="3:20" x14ac:dyDescent="0.3">
      <c r="D108" s="214"/>
    </row>
    <row r="109" spans="3:20" x14ac:dyDescent="0.3">
      <c r="D109" s="214"/>
      <c r="R109" s="215"/>
      <c r="S109" s="215"/>
    </row>
    <row r="110" spans="3:20" x14ac:dyDescent="0.3">
      <c r="D110" s="214"/>
      <c r="R110" s="216"/>
      <c r="S110" s="216"/>
    </row>
    <row r="111" spans="3:20" x14ac:dyDescent="0.3">
      <c r="D111" s="214"/>
    </row>
    <row r="112" spans="3:20" x14ac:dyDescent="0.3">
      <c r="D112" s="214"/>
    </row>
    <row r="118" spans="24:26" x14ac:dyDescent="0.3">
      <c r="X118" s="4"/>
      <c r="Y118" s="4"/>
      <c r="Z118" s="4"/>
    </row>
    <row r="119" spans="24:26" x14ac:dyDescent="0.3">
      <c r="X119" s="4"/>
      <c r="Y119" s="4"/>
      <c r="Z119" s="4"/>
    </row>
    <row r="120" spans="24:26" x14ac:dyDescent="0.3">
      <c r="X120" s="4"/>
      <c r="Y120" s="4"/>
      <c r="Z120" s="4"/>
    </row>
    <row r="121" spans="24:26" x14ac:dyDescent="0.3">
      <c r="X121" s="4"/>
      <c r="Y121" s="4"/>
      <c r="Z121" s="4"/>
    </row>
    <row r="122" spans="24:26" x14ac:dyDescent="0.3">
      <c r="X122" s="4"/>
      <c r="Y122" s="4"/>
      <c r="Z122" s="4"/>
    </row>
    <row r="123" spans="24:26" x14ac:dyDescent="0.3">
      <c r="X123" s="4"/>
      <c r="Y123" s="4"/>
      <c r="Z123" s="4"/>
    </row>
    <row r="124" spans="24:26" x14ac:dyDescent="0.3">
      <c r="X124" s="4"/>
      <c r="Y124" s="4"/>
      <c r="Z124" s="4"/>
    </row>
    <row r="125" spans="24:26" x14ac:dyDescent="0.3">
      <c r="X125" s="4"/>
      <c r="Y125" s="4"/>
      <c r="Z125" s="4"/>
    </row>
    <row r="126" spans="24:26" x14ac:dyDescent="0.3">
      <c r="X126" s="4"/>
      <c r="Y126" s="4"/>
      <c r="Z126" s="4"/>
    </row>
    <row r="127" spans="24:26" x14ac:dyDescent="0.3">
      <c r="X127" s="4"/>
      <c r="Y127" s="4"/>
      <c r="Z127" s="4"/>
    </row>
    <row r="128" spans="24:26" x14ac:dyDescent="0.3">
      <c r="X128" s="4"/>
      <c r="Y128" s="4"/>
      <c r="Z128" s="4"/>
    </row>
    <row r="129" spans="5:26" x14ac:dyDescent="0.3">
      <c r="X129" s="4"/>
      <c r="Y129" s="4"/>
      <c r="Z129" s="4"/>
    </row>
    <row r="130" spans="5:26" x14ac:dyDescent="0.3">
      <c r="E130" s="212"/>
      <c r="X130" s="4"/>
      <c r="Y130" s="4"/>
      <c r="Z130" s="4"/>
    </row>
    <row r="131" spans="5:26" x14ac:dyDescent="0.3">
      <c r="E131" s="212"/>
      <c r="X131" s="4"/>
      <c r="Y131" s="4"/>
      <c r="Z131" s="4"/>
    </row>
    <row r="132" spans="5:26" x14ac:dyDescent="0.3">
      <c r="E132" s="212"/>
      <c r="X132" s="4"/>
      <c r="Y132" s="4"/>
      <c r="Z132" s="4"/>
    </row>
    <row r="133" spans="5:26" x14ac:dyDescent="0.3">
      <c r="E133" s="212"/>
      <c r="X133" s="4"/>
      <c r="Y133" s="4"/>
      <c r="Z133" s="4"/>
    </row>
    <row r="134" spans="5:26" x14ac:dyDescent="0.3">
      <c r="E134" s="212"/>
      <c r="X134" s="4"/>
      <c r="Y134" s="4"/>
      <c r="Z134" s="4"/>
    </row>
    <row r="135" spans="5:26" x14ac:dyDescent="0.3">
      <c r="E135" s="212"/>
      <c r="X135" s="4"/>
      <c r="Y135" s="4"/>
      <c r="Z135" s="4"/>
    </row>
    <row r="136" spans="5:26" x14ac:dyDescent="0.3">
      <c r="E136" s="212"/>
      <c r="X136" s="4"/>
      <c r="Y136" s="4"/>
      <c r="Z136" s="4"/>
    </row>
    <row r="137" spans="5:26" x14ac:dyDescent="0.3">
      <c r="E137" s="212"/>
    </row>
    <row r="138" spans="5:26" x14ac:dyDescent="0.3">
      <c r="E138" s="212"/>
    </row>
    <row r="139" spans="5:26" x14ac:dyDescent="0.3">
      <c r="E139" s="212"/>
    </row>
    <row r="140" spans="5:26" x14ac:dyDescent="0.3">
      <c r="E140" s="212"/>
    </row>
  </sheetData>
  <sheetProtection selectLockedCells="1"/>
  <mergeCells count="4">
    <mergeCell ref="G1:J1"/>
    <mergeCell ref="B2:C2"/>
    <mergeCell ref="B3:C3"/>
    <mergeCell ref="B4:C4"/>
  </mergeCells>
  <pageMargins left="0.7" right="0.7" top="0.75" bottom="0.75" header="0.3" footer="0.3"/>
  <pageSetup scale="66" orientation="portrait" verticalDpi="12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3B0B-187B-40C8-8D4D-0662EBAE8232}">
  <dimension ref="A1:I104"/>
  <sheetViews>
    <sheetView showGridLines="0" zoomScaleNormal="100" zoomScaleSheetLayoutView="100" workbookViewId="0">
      <selection activeCell="A12" sqref="A12:B12"/>
    </sheetView>
  </sheetViews>
  <sheetFormatPr defaultColWidth="8.6640625" defaultRowHeight="14.4" x14ac:dyDescent="0.3"/>
  <cols>
    <col min="1" max="1" width="6.5546875" style="206" customWidth="1"/>
    <col min="2" max="2" width="17" style="206" customWidth="1"/>
    <col min="3" max="3" width="19.6640625" style="206" bestFit="1" customWidth="1"/>
    <col min="4" max="4" width="18.33203125" style="206" customWidth="1"/>
    <col min="5" max="5" width="10.33203125" style="206" customWidth="1"/>
    <col min="6" max="6" width="13.44140625" style="206" customWidth="1"/>
    <col min="7" max="7" width="10" style="206" customWidth="1"/>
    <col min="8" max="8" width="11.44140625" style="206" customWidth="1"/>
    <col min="9" max="9" width="6.5546875" style="206" customWidth="1"/>
    <col min="10" max="16384" width="8.6640625" style="206"/>
  </cols>
  <sheetData>
    <row r="1" spans="1:8" ht="15.6" x14ac:dyDescent="0.3">
      <c r="A1" s="896" t="s">
        <v>306</v>
      </c>
      <c r="B1" s="897"/>
      <c r="C1" s="897"/>
      <c r="D1" s="897"/>
      <c r="E1" s="897"/>
      <c r="F1" s="897"/>
      <c r="G1" s="897"/>
      <c r="H1" s="898"/>
    </row>
    <row r="2" spans="1:8" ht="12" customHeight="1" x14ac:dyDescent="0.3">
      <c r="A2" s="242" t="s">
        <v>202</v>
      </c>
      <c r="B2" s="243">
        <v>42139</v>
      </c>
      <c r="C2" s="244"/>
      <c r="D2" s="244"/>
      <c r="E2" s="244"/>
      <c r="F2" s="244"/>
      <c r="G2" s="244"/>
      <c r="H2" s="245"/>
    </row>
    <row r="3" spans="1:8" ht="15.6" x14ac:dyDescent="0.3">
      <c r="A3" s="854" t="s">
        <v>22</v>
      </c>
      <c r="B3" s="855"/>
      <c r="C3" s="855"/>
      <c r="D3" s="855"/>
      <c r="E3" s="855"/>
      <c r="F3" s="855"/>
      <c r="G3" s="855"/>
      <c r="H3" s="856"/>
    </row>
    <row r="4" spans="1:8" x14ac:dyDescent="0.3">
      <c r="A4" s="841" t="s">
        <v>23</v>
      </c>
      <c r="B4" s="842"/>
      <c r="C4" s="842" t="s">
        <v>24</v>
      </c>
      <c r="D4" s="842"/>
      <c r="E4" s="842" t="s">
        <v>25</v>
      </c>
      <c r="F4" s="842"/>
      <c r="G4" s="842" t="s">
        <v>26</v>
      </c>
      <c r="H4" s="843"/>
    </row>
    <row r="5" spans="1:8" ht="15.6" x14ac:dyDescent="0.3">
      <c r="A5" s="847" t="str">
        <f>IF(ISBLANK('1 Aggregate System'!A4),"",'1 Aggregate System'!A4)</f>
        <v/>
      </c>
      <c r="B5" s="848"/>
      <c r="C5" s="849" t="str">
        <f>IF(ISBLANK('1 Aggregate System'!C4),"",'1 Aggregate System'!C4)</f>
        <v/>
      </c>
      <c r="D5" s="848"/>
      <c r="E5" s="849" t="str">
        <f>IF(ISBLANK('1 Aggregate System'!E4),"",'1 Aggregate System'!E4)</f>
        <v/>
      </c>
      <c r="F5" s="848"/>
      <c r="G5" s="849" t="str">
        <f>IF(ISBLANK('1 Aggregate System'!L4),"",'1 Aggregate System'!L4)</f>
        <v/>
      </c>
      <c r="H5" s="850"/>
    </row>
    <row r="6" spans="1:8" x14ac:dyDescent="0.3">
      <c r="A6" s="841" t="s">
        <v>27</v>
      </c>
      <c r="B6" s="842"/>
      <c r="C6" s="842"/>
      <c r="D6" s="842"/>
      <c r="E6" s="842" t="s">
        <v>28</v>
      </c>
      <c r="F6" s="842"/>
      <c r="G6" s="842"/>
      <c r="H6" s="843"/>
    </row>
    <row r="7" spans="1:8" ht="15.6" x14ac:dyDescent="0.3">
      <c r="A7" s="838" t="str">
        <f>IF(ISBLANK('1 Aggregate System'!A6),"",'1 Aggregate System'!A6)</f>
        <v/>
      </c>
      <c r="B7" s="839"/>
      <c r="C7" s="839"/>
      <c r="D7" s="839"/>
      <c r="E7" s="839" t="str">
        <f>IF(ISBLANK('1 Aggregate System'!E6),"",'1 Aggregate System'!E6)</f>
        <v/>
      </c>
      <c r="F7" s="839"/>
      <c r="G7" s="839"/>
      <c r="H7" s="840"/>
    </row>
    <row r="8" spans="1:8" x14ac:dyDescent="0.3">
      <c r="A8" s="841" t="s">
        <v>29</v>
      </c>
      <c r="B8" s="842"/>
      <c r="C8" s="842"/>
      <c r="D8" s="842"/>
      <c r="E8" s="842" t="s">
        <v>30</v>
      </c>
      <c r="F8" s="842"/>
      <c r="G8" s="842"/>
      <c r="H8" s="843"/>
    </row>
    <row r="9" spans="1:8" ht="16.2" thickBot="1" x14ac:dyDescent="0.35">
      <c r="A9" s="844" t="str">
        <f>IF(ISBLANK('1 Aggregate System'!A8),"",'1 Aggregate System'!A8)</f>
        <v/>
      </c>
      <c r="B9" s="845"/>
      <c r="C9" s="845"/>
      <c r="D9" s="845"/>
      <c r="E9" s="845" t="str">
        <f>IF(ISBLANK('1 Aggregate System'!E8),"",'1 Aggregate System'!E8)</f>
        <v/>
      </c>
      <c r="F9" s="845"/>
      <c r="G9" s="845"/>
      <c r="H9" s="846"/>
    </row>
    <row r="10" spans="1:8" ht="15.6" x14ac:dyDescent="0.3">
      <c r="A10" s="854" t="s">
        <v>203</v>
      </c>
      <c r="B10" s="855"/>
      <c r="C10" s="855"/>
      <c r="D10" s="855"/>
      <c r="E10" s="855"/>
      <c r="F10" s="855"/>
      <c r="G10" s="855"/>
      <c r="H10" s="856"/>
    </row>
    <row r="11" spans="1:8" x14ac:dyDescent="0.3">
      <c r="A11" s="841" t="s">
        <v>204</v>
      </c>
      <c r="B11" s="842"/>
      <c r="C11" s="842" t="s">
        <v>205</v>
      </c>
      <c r="D11" s="842"/>
      <c r="E11" s="842" t="s">
        <v>206</v>
      </c>
      <c r="F11" s="842"/>
      <c r="G11" s="842" t="s">
        <v>207</v>
      </c>
      <c r="H11" s="843"/>
    </row>
    <row r="12" spans="1:8" ht="15.6" x14ac:dyDescent="0.3">
      <c r="A12" s="861"/>
      <c r="B12" s="863"/>
      <c r="C12" s="864"/>
      <c r="D12" s="863"/>
      <c r="E12" s="864"/>
      <c r="F12" s="863"/>
      <c r="G12" s="890"/>
      <c r="H12" s="891"/>
    </row>
    <row r="13" spans="1:8" x14ac:dyDescent="0.3">
      <c r="A13" s="866" t="s">
        <v>208</v>
      </c>
      <c r="B13" s="867"/>
      <c r="C13" s="867"/>
      <c r="D13" s="867"/>
      <c r="E13" s="867"/>
      <c r="F13" s="867"/>
      <c r="G13" s="867"/>
      <c r="H13" s="684"/>
    </row>
    <row r="14" spans="1:8" ht="15.6" x14ac:dyDescent="0.3">
      <c r="A14" s="861"/>
      <c r="B14" s="862"/>
      <c r="C14" s="862"/>
      <c r="D14" s="862"/>
      <c r="E14" s="862"/>
      <c r="F14" s="862"/>
      <c r="G14" s="862"/>
      <c r="H14" s="865"/>
    </row>
    <row r="15" spans="1:8" x14ac:dyDescent="0.3">
      <c r="A15" s="866" t="s">
        <v>209</v>
      </c>
      <c r="B15" s="867"/>
      <c r="C15" s="867"/>
      <c r="D15" s="867"/>
      <c r="E15" s="867"/>
      <c r="F15" s="867"/>
      <c r="G15" s="683" t="s">
        <v>210</v>
      </c>
      <c r="H15" s="684"/>
    </row>
    <row r="16" spans="1:8" ht="15.6" x14ac:dyDescent="0.3">
      <c r="A16" s="861"/>
      <c r="B16" s="862"/>
      <c r="C16" s="862"/>
      <c r="D16" s="862"/>
      <c r="E16" s="862"/>
      <c r="F16" s="863"/>
      <c r="G16" s="864"/>
      <c r="H16" s="865"/>
    </row>
    <row r="17" spans="1:8" x14ac:dyDescent="0.3">
      <c r="A17" s="866" t="s">
        <v>211</v>
      </c>
      <c r="B17" s="867"/>
      <c r="C17" s="867"/>
      <c r="D17" s="867"/>
      <c r="E17" s="867"/>
      <c r="F17" s="246" t="s">
        <v>212</v>
      </c>
      <c r="G17" s="246" t="s">
        <v>213</v>
      </c>
      <c r="H17" s="247" t="s">
        <v>214</v>
      </c>
    </row>
    <row r="18" spans="1:8" ht="15.6" x14ac:dyDescent="0.3">
      <c r="A18" s="885"/>
      <c r="B18" s="886"/>
      <c r="C18" s="886"/>
      <c r="D18" s="864"/>
      <c r="E18" s="863"/>
      <c r="F18" s="886"/>
      <c r="G18" s="886"/>
      <c r="H18" s="887"/>
    </row>
    <row r="19" spans="1:8" ht="15.6" x14ac:dyDescent="0.3">
      <c r="A19" s="854" t="s">
        <v>215</v>
      </c>
      <c r="B19" s="855"/>
      <c r="C19" s="855"/>
      <c r="D19" s="855"/>
      <c r="E19" s="855"/>
      <c r="F19" s="855"/>
      <c r="G19" s="855"/>
      <c r="H19" s="856"/>
    </row>
    <row r="20" spans="1:8" x14ac:dyDescent="0.3">
      <c r="A20" s="248" t="s">
        <v>216</v>
      </c>
      <c r="B20" s="249"/>
      <c r="C20" s="250"/>
      <c r="D20" s="683" t="s">
        <v>217</v>
      </c>
      <c r="E20" s="867"/>
      <c r="F20" s="876"/>
      <c r="G20" s="842" t="s">
        <v>21</v>
      </c>
      <c r="H20" s="843"/>
    </row>
    <row r="21" spans="1:8" ht="18" x14ac:dyDescent="0.45">
      <c r="A21" s="861"/>
      <c r="B21" s="862"/>
      <c r="C21" s="862"/>
      <c r="D21" s="888"/>
      <c r="E21" s="892"/>
      <c r="F21" s="889"/>
      <c r="G21" s="890"/>
      <c r="H21" s="891"/>
    </row>
    <row r="22" spans="1:8" x14ac:dyDescent="0.3">
      <c r="A22" s="866" t="s">
        <v>218</v>
      </c>
      <c r="B22" s="867"/>
      <c r="C22" s="867"/>
      <c r="D22" s="867"/>
      <c r="E22" s="867"/>
      <c r="F22" s="867"/>
      <c r="G22" s="683" t="s">
        <v>210</v>
      </c>
      <c r="H22" s="684"/>
    </row>
    <row r="23" spans="1:8" ht="15.6" x14ac:dyDescent="0.3">
      <c r="A23" s="861"/>
      <c r="B23" s="862"/>
      <c r="C23" s="862"/>
      <c r="D23" s="862"/>
      <c r="E23" s="862"/>
      <c r="F23" s="863"/>
      <c r="G23" s="864"/>
      <c r="H23" s="865"/>
    </row>
    <row r="24" spans="1:8" x14ac:dyDescent="0.3">
      <c r="A24" s="866" t="s">
        <v>219</v>
      </c>
      <c r="B24" s="867"/>
      <c r="C24" s="867"/>
      <c r="D24" s="867"/>
      <c r="E24" s="867"/>
      <c r="F24" s="246" t="s">
        <v>212</v>
      </c>
      <c r="G24" s="246" t="s">
        <v>213</v>
      </c>
      <c r="H24" s="247" t="s">
        <v>214</v>
      </c>
    </row>
    <row r="25" spans="1:8" ht="15.6" x14ac:dyDescent="0.3">
      <c r="A25" s="885"/>
      <c r="B25" s="886"/>
      <c r="C25" s="886"/>
      <c r="D25" s="864"/>
      <c r="E25" s="863"/>
      <c r="F25" s="886"/>
      <c r="G25" s="886"/>
      <c r="H25" s="887"/>
    </row>
    <row r="26" spans="1:8" ht="27" customHeight="1" x14ac:dyDescent="0.3">
      <c r="A26" s="893" t="s">
        <v>220</v>
      </c>
      <c r="B26" s="894"/>
      <c r="C26" s="894"/>
      <c r="D26" s="894"/>
      <c r="E26" s="894"/>
      <c r="F26" s="894"/>
      <c r="G26" s="894"/>
      <c r="H26" s="895"/>
    </row>
    <row r="27" spans="1:8" x14ac:dyDescent="0.3">
      <c r="A27" s="248" t="s">
        <v>221</v>
      </c>
      <c r="B27" s="249"/>
      <c r="C27" s="250"/>
      <c r="D27" s="683" t="s">
        <v>217</v>
      </c>
      <c r="E27" s="867"/>
      <c r="F27" s="876"/>
      <c r="G27" s="842" t="s">
        <v>21</v>
      </c>
      <c r="H27" s="843"/>
    </row>
    <row r="28" spans="1:8" ht="18" x14ac:dyDescent="0.45">
      <c r="A28" s="861"/>
      <c r="B28" s="862"/>
      <c r="C28" s="862"/>
      <c r="D28" s="888"/>
      <c r="E28" s="892"/>
      <c r="F28" s="889"/>
      <c r="G28" s="890"/>
      <c r="H28" s="891"/>
    </row>
    <row r="29" spans="1:8" x14ac:dyDescent="0.3">
      <c r="A29" s="866" t="s">
        <v>222</v>
      </c>
      <c r="B29" s="867"/>
      <c r="C29" s="867"/>
      <c r="D29" s="867"/>
      <c r="E29" s="867"/>
      <c r="F29" s="867"/>
      <c r="G29" s="683" t="s">
        <v>210</v>
      </c>
      <c r="H29" s="684"/>
    </row>
    <row r="30" spans="1:8" ht="15.6" x14ac:dyDescent="0.3">
      <c r="A30" s="861"/>
      <c r="B30" s="862"/>
      <c r="C30" s="862"/>
      <c r="D30" s="862"/>
      <c r="E30" s="862"/>
      <c r="F30" s="863"/>
      <c r="G30" s="864"/>
      <c r="H30" s="865"/>
    </row>
    <row r="31" spans="1:8" x14ac:dyDescent="0.3">
      <c r="A31" s="866" t="s">
        <v>219</v>
      </c>
      <c r="B31" s="867"/>
      <c r="C31" s="867"/>
      <c r="D31" s="867"/>
      <c r="E31" s="867"/>
      <c r="F31" s="246" t="s">
        <v>212</v>
      </c>
      <c r="G31" s="246" t="s">
        <v>213</v>
      </c>
      <c r="H31" s="247" t="s">
        <v>214</v>
      </c>
    </row>
    <row r="32" spans="1:8" ht="15.6" x14ac:dyDescent="0.3">
      <c r="A32" s="885"/>
      <c r="B32" s="886"/>
      <c r="C32" s="886"/>
      <c r="D32" s="864"/>
      <c r="E32" s="863"/>
      <c r="F32" s="886"/>
      <c r="G32" s="886"/>
      <c r="H32" s="887"/>
    </row>
    <row r="33" spans="1:8" ht="15.6" x14ac:dyDescent="0.3">
      <c r="A33" s="854" t="s">
        <v>223</v>
      </c>
      <c r="B33" s="855"/>
      <c r="C33" s="855"/>
      <c r="D33" s="855"/>
      <c r="E33" s="855"/>
      <c r="F33" s="855"/>
      <c r="G33" s="855"/>
      <c r="H33" s="856"/>
    </row>
    <row r="34" spans="1:8" s="251" customFormat="1" ht="42" customHeight="1" x14ac:dyDescent="0.25">
      <c r="A34" s="873" t="s">
        <v>224</v>
      </c>
      <c r="B34" s="874"/>
      <c r="C34" s="874"/>
      <c r="D34" s="874"/>
      <c r="E34" s="874"/>
      <c r="F34" s="874"/>
      <c r="G34" s="874"/>
      <c r="H34" s="875"/>
    </row>
    <row r="35" spans="1:8" x14ac:dyDescent="0.3">
      <c r="A35" s="252" t="s">
        <v>225</v>
      </c>
      <c r="B35" s="253"/>
      <c r="C35" s="683" t="s">
        <v>217</v>
      </c>
      <c r="D35" s="876"/>
      <c r="E35" s="842" t="s">
        <v>226</v>
      </c>
      <c r="F35" s="842"/>
      <c r="G35" s="842" t="s">
        <v>21</v>
      </c>
      <c r="H35" s="843"/>
    </row>
    <row r="36" spans="1:8" ht="18" x14ac:dyDescent="0.45">
      <c r="A36" s="861"/>
      <c r="B36" s="862"/>
      <c r="C36" s="888"/>
      <c r="D36" s="889"/>
      <c r="E36" s="864"/>
      <c r="F36" s="863"/>
      <c r="G36" s="890"/>
      <c r="H36" s="891"/>
    </row>
    <row r="37" spans="1:8" x14ac:dyDescent="0.3">
      <c r="A37" s="866" t="s">
        <v>227</v>
      </c>
      <c r="B37" s="867"/>
      <c r="C37" s="867"/>
      <c r="D37" s="867"/>
      <c r="E37" s="867"/>
      <c r="F37" s="867"/>
      <c r="G37" s="683" t="s">
        <v>210</v>
      </c>
      <c r="H37" s="684"/>
    </row>
    <row r="38" spans="1:8" ht="15.6" x14ac:dyDescent="0.3">
      <c r="A38" s="861"/>
      <c r="B38" s="862"/>
      <c r="C38" s="862"/>
      <c r="D38" s="862"/>
      <c r="E38" s="862"/>
      <c r="F38" s="863"/>
      <c r="G38" s="864"/>
      <c r="H38" s="865"/>
    </row>
    <row r="39" spans="1:8" x14ac:dyDescent="0.3">
      <c r="A39" s="866" t="s">
        <v>219</v>
      </c>
      <c r="B39" s="867"/>
      <c r="C39" s="867"/>
      <c r="D39" s="867"/>
      <c r="E39" s="867"/>
      <c r="F39" s="246" t="s">
        <v>212</v>
      </c>
      <c r="G39" s="246" t="s">
        <v>213</v>
      </c>
      <c r="H39" s="247" t="s">
        <v>214</v>
      </c>
    </row>
    <row r="40" spans="1:8" ht="15.6" x14ac:dyDescent="0.3">
      <c r="A40" s="885"/>
      <c r="B40" s="886"/>
      <c r="C40" s="886"/>
      <c r="D40" s="864"/>
      <c r="E40" s="863"/>
      <c r="F40" s="886"/>
      <c r="G40" s="886"/>
      <c r="H40" s="887"/>
    </row>
    <row r="41" spans="1:8" ht="15.6" x14ac:dyDescent="0.3">
      <c r="A41" s="854" t="s">
        <v>228</v>
      </c>
      <c r="B41" s="855"/>
      <c r="C41" s="855"/>
      <c r="D41" s="855"/>
      <c r="E41" s="855"/>
      <c r="F41" s="855"/>
      <c r="G41" s="855"/>
      <c r="H41" s="856"/>
    </row>
    <row r="42" spans="1:8" ht="40.200000000000003" customHeight="1" x14ac:dyDescent="0.3">
      <c r="A42" s="873" t="s">
        <v>229</v>
      </c>
      <c r="B42" s="874"/>
      <c r="C42" s="874"/>
      <c r="D42" s="874"/>
      <c r="E42" s="874"/>
      <c r="F42" s="874"/>
      <c r="G42" s="874"/>
      <c r="H42" s="875"/>
    </row>
    <row r="43" spans="1:8" x14ac:dyDescent="0.3">
      <c r="A43" s="866" t="s">
        <v>230</v>
      </c>
      <c r="B43" s="867"/>
      <c r="C43" s="876"/>
      <c r="D43" s="683" t="s">
        <v>217</v>
      </c>
      <c r="E43" s="867"/>
      <c r="F43" s="876"/>
      <c r="G43" s="842" t="s">
        <v>21</v>
      </c>
      <c r="H43" s="843"/>
    </row>
    <row r="44" spans="1:8" ht="18.600000000000001" thickBot="1" x14ac:dyDescent="0.5">
      <c r="A44" s="877"/>
      <c r="B44" s="878"/>
      <c r="C44" s="879"/>
      <c r="D44" s="880"/>
      <c r="E44" s="881"/>
      <c r="F44" s="882"/>
      <c r="G44" s="883"/>
      <c r="H44" s="884"/>
    </row>
    <row r="45" spans="1:8" x14ac:dyDescent="0.3">
      <c r="A45" s="857" t="s">
        <v>227</v>
      </c>
      <c r="B45" s="858"/>
      <c r="C45" s="858"/>
      <c r="D45" s="858"/>
      <c r="E45" s="858"/>
      <c r="F45" s="858"/>
      <c r="G45" s="859" t="s">
        <v>210</v>
      </c>
      <c r="H45" s="860"/>
    </row>
    <row r="46" spans="1:8" ht="15.6" x14ac:dyDescent="0.3">
      <c r="A46" s="861"/>
      <c r="B46" s="862"/>
      <c r="C46" s="862"/>
      <c r="D46" s="862"/>
      <c r="E46" s="862"/>
      <c r="F46" s="863"/>
      <c r="G46" s="864"/>
      <c r="H46" s="865"/>
    </row>
    <row r="47" spans="1:8" x14ac:dyDescent="0.3">
      <c r="A47" s="866" t="s">
        <v>219</v>
      </c>
      <c r="B47" s="867"/>
      <c r="C47" s="867"/>
      <c r="D47" s="867"/>
      <c r="E47" s="867"/>
      <c r="F47" s="246" t="s">
        <v>212</v>
      </c>
      <c r="G47" s="246" t="s">
        <v>213</v>
      </c>
      <c r="H47" s="247" t="s">
        <v>214</v>
      </c>
    </row>
    <row r="48" spans="1:8" ht="16.2" thickBot="1" x14ac:dyDescent="0.35">
      <c r="A48" s="868"/>
      <c r="B48" s="869"/>
      <c r="C48" s="869"/>
      <c r="D48" s="870"/>
      <c r="E48" s="871"/>
      <c r="F48" s="869"/>
      <c r="G48" s="869"/>
      <c r="H48" s="872"/>
    </row>
    <row r="49" spans="1:8" ht="15.6" x14ac:dyDescent="0.3">
      <c r="A49" s="851" t="s">
        <v>20</v>
      </c>
      <c r="B49" s="852"/>
      <c r="C49" s="852"/>
      <c r="D49" s="852"/>
      <c r="E49" s="852"/>
      <c r="F49" s="852"/>
      <c r="G49" s="852"/>
      <c r="H49" s="853"/>
    </row>
    <row r="50" spans="1:8" ht="11.1" customHeight="1" x14ac:dyDescent="0.3">
      <c r="A50" s="242" t="s">
        <v>202</v>
      </c>
      <c r="B50" s="243">
        <v>42125</v>
      </c>
      <c r="C50" s="244"/>
      <c r="D50" s="244"/>
      <c r="E50" s="244"/>
      <c r="F50" s="244"/>
      <c r="G50" s="244"/>
      <c r="H50" s="245"/>
    </row>
    <row r="51" spans="1:8" ht="15.6" x14ac:dyDescent="0.3">
      <c r="A51" s="854" t="s">
        <v>22</v>
      </c>
      <c r="B51" s="855"/>
      <c r="C51" s="855"/>
      <c r="D51" s="855"/>
      <c r="E51" s="855"/>
      <c r="F51" s="855"/>
      <c r="G51" s="855"/>
      <c r="H51" s="856"/>
    </row>
    <row r="52" spans="1:8" x14ac:dyDescent="0.3">
      <c r="A52" s="841" t="s">
        <v>23</v>
      </c>
      <c r="B52" s="842"/>
      <c r="C52" s="842" t="s">
        <v>24</v>
      </c>
      <c r="D52" s="842"/>
      <c r="E52" s="842" t="s">
        <v>25</v>
      </c>
      <c r="F52" s="842"/>
      <c r="G52" s="842" t="s">
        <v>26</v>
      </c>
      <c r="H52" s="843"/>
    </row>
    <row r="53" spans="1:8" ht="15.6" x14ac:dyDescent="0.3">
      <c r="A53" s="847" t="str">
        <f>IF(ISBLANK('1 Aggregate System'!A4),"",'1 Aggregate System'!A4)</f>
        <v/>
      </c>
      <c r="B53" s="848"/>
      <c r="C53" s="849" t="str">
        <f>IF(ISBLANK('1 Aggregate System'!C4),"",'1 Aggregate System'!C4)</f>
        <v/>
      </c>
      <c r="D53" s="848"/>
      <c r="E53" s="849" t="str">
        <f>IF(ISBLANK('1 Aggregate System'!E4),"",'1 Aggregate System'!E4)</f>
        <v/>
      </c>
      <c r="F53" s="848"/>
      <c r="G53" s="849" t="str">
        <f>IF(ISBLANK('1 Aggregate System'!L4),"",'1 Aggregate System'!L4)</f>
        <v/>
      </c>
      <c r="H53" s="850"/>
    </row>
    <row r="54" spans="1:8" x14ac:dyDescent="0.3">
      <c r="A54" s="841" t="s">
        <v>27</v>
      </c>
      <c r="B54" s="842"/>
      <c r="C54" s="842"/>
      <c r="D54" s="842"/>
      <c r="E54" s="842" t="s">
        <v>28</v>
      </c>
      <c r="F54" s="842"/>
      <c r="G54" s="842"/>
      <c r="H54" s="843"/>
    </row>
    <row r="55" spans="1:8" ht="15.6" x14ac:dyDescent="0.3">
      <c r="A55" s="838" t="str">
        <f>IF(ISBLANK('1 Aggregate System'!A6),"",'1 Aggregate System'!A6)</f>
        <v/>
      </c>
      <c r="B55" s="839"/>
      <c r="C55" s="839"/>
      <c r="D55" s="839"/>
      <c r="E55" s="839" t="str">
        <f>IF(ISBLANK('1 Aggregate System'!E6),"",'1 Aggregate System'!E6)</f>
        <v/>
      </c>
      <c r="F55" s="839"/>
      <c r="G55" s="839"/>
      <c r="H55" s="840"/>
    </row>
    <row r="56" spans="1:8" x14ac:dyDescent="0.3">
      <c r="A56" s="841" t="s">
        <v>29</v>
      </c>
      <c r="B56" s="842"/>
      <c r="C56" s="842"/>
      <c r="D56" s="842"/>
      <c r="E56" s="842" t="s">
        <v>30</v>
      </c>
      <c r="F56" s="842"/>
      <c r="G56" s="842"/>
      <c r="H56" s="843"/>
    </row>
    <row r="57" spans="1:8" ht="16.2" thickBot="1" x14ac:dyDescent="0.35">
      <c r="A57" s="844" t="str">
        <f>IF(ISBLANK('1 Aggregate System'!A8),"",'1 Aggregate System'!A8)</f>
        <v/>
      </c>
      <c r="B57" s="845"/>
      <c r="C57" s="845"/>
      <c r="D57" s="845"/>
      <c r="E57" s="845" t="str">
        <f>IF(ISBLANK('1 Aggregate System'!E8),"",'1 Aggregate System'!E8)</f>
        <v/>
      </c>
      <c r="F57" s="845"/>
      <c r="G57" s="845"/>
      <c r="H57" s="846"/>
    </row>
    <row r="58" spans="1:8" ht="16.2" thickBot="1" x14ac:dyDescent="0.35">
      <c r="A58" s="826" t="s">
        <v>203</v>
      </c>
      <c r="B58" s="827"/>
      <c r="C58" s="827"/>
      <c r="D58" s="827"/>
      <c r="E58" s="827"/>
      <c r="F58" s="827"/>
      <c r="G58" s="827"/>
      <c r="H58" s="828"/>
    </row>
    <row r="59" spans="1:8" ht="13.2" customHeight="1" x14ac:dyDescent="0.3">
      <c r="A59" s="254"/>
      <c r="B59" s="255"/>
      <c r="C59" s="255"/>
      <c r="D59" s="255"/>
      <c r="E59" s="255"/>
      <c r="F59" s="255"/>
      <c r="G59" s="255"/>
      <c r="H59" s="256"/>
    </row>
    <row r="60" spans="1:8" ht="13.2" customHeight="1" x14ac:dyDescent="0.3">
      <c r="A60" s="257"/>
      <c r="B60" s="258"/>
      <c r="C60" s="258"/>
      <c r="D60" s="258"/>
      <c r="E60" s="258"/>
      <c r="F60" s="258"/>
      <c r="G60" s="258"/>
      <c r="H60" s="259"/>
    </row>
    <row r="61" spans="1:8" ht="27.6" customHeight="1" x14ac:dyDescent="0.3">
      <c r="A61" s="257"/>
      <c r="B61" s="258"/>
      <c r="C61" s="258"/>
      <c r="D61" s="260"/>
      <c r="E61" s="260"/>
      <c r="F61" s="260"/>
      <c r="G61" s="260"/>
      <c r="H61" s="261"/>
    </row>
    <row r="62" spans="1:8" ht="13.2" customHeight="1" x14ac:dyDescent="0.3">
      <c r="A62" s="257"/>
      <c r="B62" s="258"/>
      <c r="C62" s="258"/>
      <c r="D62" s="260"/>
      <c r="E62" s="260"/>
      <c r="F62" s="260"/>
      <c r="G62" s="260"/>
      <c r="H62" s="261"/>
    </row>
    <row r="63" spans="1:8" ht="13.2" customHeight="1" x14ac:dyDescent="0.3">
      <c r="A63" s="257"/>
      <c r="B63" s="258"/>
      <c r="C63" s="258"/>
      <c r="D63" s="260"/>
      <c r="E63" s="260"/>
      <c r="F63" s="260"/>
      <c r="G63" s="260"/>
      <c r="H63" s="261"/>
    </row>
    <row r="64" spans="1:8" ht="13.2" customHeight="1" x14ac:dyDescent="0.3">
      <c r="A64" s="257"/>
      <c r="B64" s="258"/>
      <c r="C64" s="258"/>
      <c r="D64" s="260"/>
      <c r="E64" s="260"/>
      <c r="F64" s="260"/>
      <c r="G64" s="260"/>
      <c r="H64" s="261"/>
    </row>
    <row r="65" spans="1:9" ht="13.2" customHeight="1" x14ac:dyDescent="0.3">
      <c r="A65" s="257"/>
      <c r="B65" s="258"/>
      <c r="C65" s="258"/>
      <c r="D65" s="260"/>
      <c r="E65" s="260"/>
      <c r="F65" s="260"/>
      <c r="G65" s="260"/>
      <c r="H65" s="261"/>
    </row>
    <row r="66" spans="1:9" ht="13.2" customHeight="1" x14ac:dyDescent="0.3">
      <c r="A66" s="257"/>
      <c r="B66" s="258"/>
      <c r="C66" s="258"/>
      <c r="D66" s="260"/>
      <c r="E66" s="260"/>
      <c r="F66" s="260"/>
      <c r="G66" s="260"/>
      <c r="H66" s="261"/>
    </row>
    <row r="67" spans="1:9" ht="13.2" customHeight="1" x14ac:dyDescent="0.3">
      <c r="A67" s="257"/>
      <c r="B67" s="258"/>
      <c r="C67" s="258"/>
      <c r="D67" s="260"/>
      <c r="E67" s="260"/>
      <c r="F67" s="260"/>
      <c r="G67" s="260"/>
      <c r="H67" s="261"/>
    </row>
    <row r="68" spans="1:9" ht="13.2" customHeight="1" x14ac:dyDescent="0.3">
      <c r="A68" s="257"/>
      <c r="B68" s="258"/>
      <c r="C68" s="258"/>
      <c r="D68" s="260"/>
      <c r="E68" s="260"/>
      <c r="F68" s="260"/>
      <c r="G68" s="260"/>
      <c r="H68" s="261"/>
    </row>
    <row r="69" spans="1:9" ht="13.2" customHeight="1" x14ac:dyDescent="0.3">
      <c r="A69" s="257"/>
      <c r="B69" s="258"/>
      <c r="C69" s="258"/>
      <c r="D69" s="260"/>
      <c r="E69" s="260"/>
      <c r="F69" s="260"/>
      <c r="G69" s="260"/>
      <c r="H69" s="261"/>
    </row>
    <row r="70" spans="1:9" ht="13.2" customHeight="1" x14ac:dyDescent="0.3">
      <c r="A70" s="257"/>
      <c r="B70" s="258"/>
      <c r="C70" s="258"/>
      <c r="D70" s="260"/>
      <c r="E70" s="260"/>
      <c r="F70" s="260"/>
      <c r="G70" s="260"/>
      <c r="H70" s="261"/>
    </row>
    <row r="71" spans="1:9" ht="13.2" customHeight="1" x14ac:dyDescent="0.3">
      <c r="A71" s="257"/>
      <c r="B71" s="258"/>
      <c r="C71" s="258"/>
      <c r="D71" s="260"/>
      <c r="E71" s="260"/>
      <c r="F71" s="260"/>
      <c r="G71" s="260"/>
      <c r="H71" s="261"/>
    </row>
    <row r="72" spans="1:9" ht="13.2" customHeight="1" x14ac:dyDescent="0.3">
      <c r="A72" s="257"/>
      <c r="B72" s="258"/>
      <c r="C72" s="258"/>
      <c r="D72" s="260"/>
      <c r="E72" s="260"/>
      <c r="F72" s="260"/>
      <c r="G72" s="260"/>
      <c r="H72" s="261"/>
    </row>
    <row r="73" spans="1:9" ht="13.2" customHeight="1" x14ac:dyDescent="0.3">
      <c r="A73" s="257"/>
      <c r="B73" s="258"/>
      <c r="C73" s="258"/>
      <c r="D73" s="260"/>
      <c r="E73" s="260"/>
      <c r="F73" s="260"/>
      <c r="G73" s="260"/>
      <c r="H73" s="261"/>
    </row>
    <row r="74" spans="1:9" ht="13.2" customHeight="1" thickBot="1" x14ac:dyDescent="0.35">
      <c r="A74" s="262"/>
      <c r="B74" s="263"/>
      <c r="C74" s="263"/>
      <c r="D74" s="264"/>
      <c r="E74" s="264"/>
      <c r="F74" s="264"/>
      <c r="G74" s="264"/>
      <c r="H74" s="265"/>
    </row>
    <row r="75" spans="1:9" ht="13.2" customHeight="1" x14ac:dyDescent="0.3">
      <c r="A75" s="254"/>
      <c r="B75" s="255"/>
      <c r="C75" s="255"/>
      <c r="D75" s="483"/>
      <c r="E75" s="483"/>
      <c r="F75" s="483"/>
      <c r="G75" s="483"/>
      <c r="H75" s="484"/>
    </row>
    <row r="76" spans="1:9" ht="13.2" customHeight="1" x14ac:dyDescent="0.3">
      <c r="A76" s="257"/>
      <c r="B76" s="258"/>
      <c r="C76" s="258"/>
      <c r="D76" s="260"/>
      <c r="E76" s="260"/>
      <c r="F76" s="260"/>
      <c r="G76" s="260"/>
      <c r="H76" s="261"/>
    </row>
    <row r="77" spans="1:9" ht="13.2" customHeight="1" thickBot="1" x14ac:dyDescent="0.35">
      <c r="A77" s="257"/>
      <c r="B77" s="258"/>
      <c r="C77" s="258"/>
      <c r="D77" s="258"/>
      <c r="E77" s="258"/>
      <c r="F77" s="258"/>
      <c r="G77" s="266"/>
      <c r="H77" s="259"/>
    </row>
    <row r="78" spans="1:9" ht="13.2" customHeight="1" thickBot="1" x14ac:dyDescent="0.35">
      <c r="A78" s="310"/>
      <c r="B78" s="835" t="str">
        <f>'1 Aggregate System'!F50</f>
        <v>TARANTULA RESULTS</v>
      </c>
      <c r="C78" s="836"/>
      <c r="D78" s="836"/>
      <c r="E78" s="837"/>
      <c r="F78" s="268"/>
      <c r="G78" s="268"/>
      <c r="H78" s="485"/>
    </row>
    <row r="79" spans="1:9" s="267" customFormat="1" ht="13.2" customHeight="1" x14ac:dyDescent="0.3">
      <c r="A79" s="311"/>
      <c r="B79" s="829" t="s">
        <v>84</v>
      </c>
      <c r="C79" s="829" t="s">
        <v>85</v>
      </c>
      <c r="D79" s="829" t="s">
        <v>86</v>
      </c>
      <c r="E79" s="831" t="s">
        <v>78</v>
      </c>
      <c r="F79" s="268"/>
      <c r="G79" s="268"/>
      <c r="H79" s="486"/>
      <c r="I79" s="268"/>
    </row>
    <row r="80" spans="1:9" ht="32.1" customHeight="1" thickBot="1" x14ac:dyDescent="0.35">
      <c r="A80" s="310"/>
      <c r="B80" s="830"/>
      <c r="C80" s="830"/>
      <c r="D80" s="830"/>
      <c r="E80" s="832"/>
      <c r="F80" s="481"/>
      <c r="G80" s="481"/>
      <c r="H80" s="261"/>
    </row>
    <row r="81" spans="1:8" ht="13.2" customHeight="1" x14ac:dyDescent="0.3">
      <c r="A81" s="310"/>
      <c r="B81" s="347" t="str">
        <f>'1 Aggregate System'!F53</f>
        <v>2"</v>
      </c>
      <c r="C81" s="348">
        <f>'1 Aggregate System'!G53</f>
        <v>0</v>
      </c>
      <c r="D81" s="349" t="str">
        <f>'1 Aggregate System'!L53</f>
        <v/>
      </c>
      <c r="E81" s="354" t="str">
        <f>'1 Aggregate System'!M53</f>
        <v/>
      </c>
      <c r="F81" s="482"/>
      <c r="G81" s="482"/>
      <c r="H81" s="261"/>
    </row>
    <row r="82" spans="1:8" ht="13.2" customHeight="1" x14ac:dyDescent="0.3">
      <c r="A82" s="310"/>
      <c r="B82" s="347" t="str">
        <f>'1 Aggregate System'!F54</f>
        <v>1 1/2"</v>
      </c>
      <c r="C82" s="350" t="str">
        <f>'1 Aggregate System'!G54</f>
        <v>≤5</v>
      </c>
      <c r="D82" s="349" t="str">
        <f>'1 Aggregate System'!L54</f>
        <v/>
      </c>
      <c r="E82" s="355" t="str">
        <f>'1 Aggregate System'!M54</f>
        <v/>
      </c>
      <c r="F82" s="482"/>
      <c r="G82" s="482"/>
      <c r="H82" s="261"/>
    </row>
    <row r="83" spans="1:8" ht="13.2" customHeight="1" x14ac:dyDescent="0.3">
      <c r="A83" s="310"/>
      <c r="B83" s="347" t="str">
        <f>'1 Aggregate System'!F55</f>
        <v>1"</v>
      </c>
      <c r="C83" s="350" t="str">
        <f>'1 Aggregate System'!G55</f>
        <v>≤16</v>
      </c>
      <c r="D83" s="349" t="str">
        <f>'1 Aggregate System'!L55</f>
        <v/>
      </c>
      <c r="E83" s="355" t="str">
        <f>'1 Aggregate System'!M55</f>
        <v/>
      </c>
      <c r="F83" s="482"/>
      <c r="G83" s="482"/>
      <c r="H83" s="261"/>
    </row>
    <row r="84" spans="1:8" ht="13.2" customHeight="1" x14ac:dyDescent="0.3">
      <c r="A84" s="310"/>
      <c r="B84" s="347" t="str">
        <f>'1 Aggregate System'!F56</f>
        <v>3/4"</v>
      </c>
      <c r="C84" s="350" t="str">
        <f>'1 Aggregate System'!G56</f>
        <v>≤20</v>
      </c>
      <c r="D84" s="349" t="str">
        <f>'1 Aggregate System'!L56</f>
        <v/>
      </c>
      <c r="E84" s="355" t="str">
        <f>'1 Aggregate System'!M56</f>
        <v/>
      </c>
      <c r="F84" s="482"/>
      <c r="G84" s="482"/>
      <c r="H84" s="261"/>
    </row>
    <row r="85" spans="1:8" ht="13.2" customHeight="1" x14ac:dyDescent="0.3">
      <c r="A85" s="310"/>
      <c r="B85" s="347" t="str">
        <f>'1 Aggregate System'!F57</f>
        <v>1/2"</v>
      </c>
      <c r="C85" s="350" t="str">
        <f>'1 Aggregate System'!G57</f>
        <v xml:space="preserve"> 4-20</v>
      </c>
      <c r="D85" s="349" t="str">
        <f>'1 Aggregate System'!L57</f>
        <v/>
      </c>
      <c r="E85" s="355" t="str">
        <f>'1 Aggregate System'!M57</f>
        <v/>
      </c>
      <c r="F85" s="482"/>
      <c r="G85" s="482"/>
      <c r="H85" s="261"/>
    </row>
    <row r="86" spans="1:8" ht="13.2" customHeight="1" x14ac:dyDescent="0.3">
      <c r="A86" s="310"/>
      <c r="B86" s="347" t="str">
        <f>'1 Aggregate System'!F58</f>
        <v>3/8"</v>
      </c>
      <c r="C86" s="350" t="str">
        <f>'1 Aggregate System'!G58</f>
        <v xml:space="preserve"> 4-20</v>
      </c>
      <c r="D86" s="349" t="str">
        <f>'1 Aggregate System'!L58</f>
        <v/>
      </c>
      <c r="E86" s="355" t="str">
        <f>'1 Aggregate System'!M58</f>
        <v/>
      </c>
      <c r="F86" s="482"/>
      <c r="G86" s="482"/>
      <c r="H86" s="261"/>
    </row>
    <row r="87" spans="1:8" ht="13.2" customHeight="1" x14ac:dyDescent="0.3">
      <c r="A87" s="310"/>
      <c r="B87" s="347" t="str">
        <f>'1 Aggregate System'!F59</f>
        <v># 4</v>
      </c>
      <c r="C87" s="350" t="str">
        <f>'1 Aggregate System'!G59</f>
        <v xml:space="preserve"> 4-20</v>
      </c>
      <c r="D87" s="349" t="str">
        <f>'1 Aggregate System'!L59</f>
        <v/>
      </c>
      <c r="E87" s="355" t="str">
        <f>'1 Aggregate System'!M59</f>
        <v/>
      </c>
      <c r="F87" s="482"/>
      <c r="G87" s="482"/>
      <c r="H87" s="261"/>
    </row>
    <row r="88" spans="1:8" ht="13.2" customHeight="1" x14ac:dyDescent="0.3">
      <c r="A88" s="310"/>
      <c r="B88" s="347" t="str">
        <f>'1 Aggregate System'!F60</f>
        <v># 8</v>
      </c>
      <c r="C88" s="350" t="str">
        <f>'1 Aggregate System'!G60</f>
        <v>≤12</v>
      </c>
      <c r="D88" s="349" t="str">
        <f>'1 Aggregate System'!L60</f>
        <v/>
      </c>
      <c r="E88" s="355" t="str">
        <f>'1 Aggregate System'!M60</f>
        <v/>
      </c>
      <c r="F88" s="482"/>
      <c r="G88" s="482"/>
      <c r="H88" s="261"/>
    </row>
    <row r="89" spans="1:8" ht="13.2" customHeight="1" x14ac:dyDescent="0.3">
      <c r="A89" s="310"/>
      <c r="B89" s="347" t="str">
        <f>'1 Aggregate System'!F61</f>
        <v># 16</v>
      </c>
      <c r="C89" s="350" t="str">
        <f>'1 Aggregate System'!G61</f>
        <v>≤12</v>
      </c>
      <c r="D89" s="349" t="str">
        <f>'1 Aggregate System'!L61</f>
        <v/>
      </c>
      <c r="E89" s="355" t="str">
        <f>'1 Aggregate System'!M61</f>
        <v/>
      </c>
      <c r="F89" s="482"/>
      <c r="G89" s="482"/>
      <c r="H89" s="261"/>
    </row>
    <row r="90" spans="1:8" ht="13.2" customHeight="1" x14ac:dyDescent="0.3">
      <c r="A90" s="310"/>
      <c r="B90" s="347" t="str">
        <f>'1 Aggregate System'!F62</f>
        <v># 30</v>
      </c>
      <c r="C90" s="350" t="str">
        <f>'1 Aggregate System'!G62</f>
        <v xml:space="preserve"> 4-20</v>
      </c>
      <c r="D90" s="349" t="str">
        <f>'1 Aggregate System'!L62</f>
        <v/>
      </c>
      <c r="E90" s="355" t="str">
        <f>'1 Aggregate System'!M62</f>
        <v/>
      </c>
      <c r="F90" s="482"/>
      <c r="G90" s="482"/>
      <c r="H90" s="261"/>
    </row>
    <row r="91" spans="1:8" ht="13.2" customHeight="1" x14ac:dyDescent="0.3">
      <c r="A91" s="310"/>
      <c r="B91" s="347" t="str">
        <f>'1 Aggregate System'!F63</f>
        <v># 50</v>
      </c>
      <c r="C91" s="350" t="str">
        <f>'1 Aggregate System'!G63</f>
        <v xml:space="preserve"> 4-20</v>
      </c>
      <c r="D91" s="349" t="str">
        <f>'1 Aggregate System'!L63</f>
        <v/>
      </c>
      <c r="E91" s="355" t="str">
        <f>'1 Aggregate System'!M63</f>
        <v/>
      </c>
      <c r="F91" s="482"/>
      <c r="G91" s="482"/>
      <c r="H91" s="261"/>
    </row>
    <row r="92" spans="1:8" ht="13.2" customHeight="1" x14ac:dyDescent="0.3">
      <c r="A92" s="310"/>
      <c r="B92" s="347" t="str">
        <f>'1 Aggregate System'!F64</f>
        <v># 100</v>
      </c>
      <c r="C92" s="350" t="str">
        <f>'1 Aggregate System'!G64</f>
        <v>≤10</v>
      </c>
      <c r="D92" s="349" t="str">
        <f>'1 Aggregate System'!L64</f>
        <v/>
      </c>
      <c r="E92" s="355" t="str">
        <f>'1 Aggregate System'!M64</f>
        <v/>
      </c>
      <c r="F92" s="482"/>
      <c r="G92" s="482"/>
      <c r="H92" s="261"/>
    </row>
    <row r="93" spans="1:8" ht="13.2" customHeight="1" thickBot="1" x14ac:dyDescent="0.35">
      <c r="A93" s="310"/>
      <c r="B93" s="351" t="str">
        <f>'1 Aggregate System'!F65</f>
        <v># 200</v>
      </c>
      <c r="C93" s="352" t="str">
        <f>'1 Aggregate System'!G65</f>
        <v>≤5.0</v>
      </c>
      <c r="D93" s="353" t="str">
        <f>'1 Aggregate System'!L65</f>
        <v/>
      </c>
      <c r="E93" s="356" t="str">
        <f>'1 Aggregate System'!M65</f>
        <v/>
      </c>
      <c r="F93" s="482"/>
      <c r="G93" s="482"/>
      <c r="H93" s="261"/>
    </row>
    <row r="94" spans="1:8" ht="13.2" customHeight="1" x14ac:dyDescent="0.3">
      <c r="A94" s="276"/>
      <c r="B94" s="487"/>
      <c r="C94" s="487"/>
      <c r="D94" s="487"/>
      <c r="E94" s="487"/>
      <c r="F94" s="487"/>
      <c r="G94" s="488"/>
      <c r="H94" s="489"/>
    </row>
    <row r="95" spans="1:8" ht="19.2" customHeight="1" x14ac:dyDescent="0.3">
      <c r="A95" s="252"/>
      <c r="B95" s="253"/>
      <c r="C95" s="253"/>
      <c r="D95" s="270"/>
      <c r="E95" s="270"/>
      <c r="F95" s="270"/>
      <c r="G95" s="270"/>
      <c r="H95" s="271"/>
    </row>
    <row r="96" spans="1:8" ht="13.2" customHeight="1" thickBot="1" x14ac:dyDescent="0.35">
      <c r="A96" s="257"/>
      <c r="B96" s="258"/>
      <c r="C96" s="258"/>
      <c r="D96" s="260"/>
      <c r="E96" s="260"/>
      <c r="F96" s="260"/>
      <c r="G96" s="260"/>
      <c r="H96" s="259"/>
    </row>
    <row r="97" spans="1:8" ht="16.2" thickBot="1" x14ac:dyDescent="0.35">
      <c r="A97" s="257"/>
      <c r="B97" s="322" t="str">
        <f>'1 Aggregate System'!A46</f>
        <v>Description</v>
      </c>
      <c r="C97" s="323" t="s">
        <v>75</v>
      </c>
      <c r="D97" s="323" t="str">
        <f>'1 Aggregate System'!D46:E46</f>
        <v>Limit</v>
      </c>
      <c r="E97" s="820" t="s">
        <v>77</v>
      </c>
      <c r="F97" s="821"/>
      <c r="G97" s="324" t="str">
        <f>'1 Aggregate System'!L46</f>
        <v>Results</v>
      </c>
      <c r="H97" s="259"/>
    </row>
    <row r="98" spans="1:8" s="274" customFormat="1" ht="15.6" x14ac:dyDescent="0.3">
      <c r="A98" s="272"/>
      <c r="B98" s="325" t="str">
        <f>'1 Aggregate System'!A47</f>
        <v>Fine</v>
      </c>
      <c r="C98" s="326" t="s">
        <v>79</v>
      </c>
      <c r="D98" s="326" t="str">
        <f>'1 Aggregate System'!D47:E47</f>
        <v>b/w 24% and 34%</v>
      </c>
      <c r="E98" s="822">
        <f>'1 Aggregate System'!F47</f>
        <v>0</v>
      </c>
      <c r="F98" s="823"/>
      <c r="G98" s="70" t="str">
        <f>'1 Aggregate System'!L47</f>
        <v>Fail</v>
      </c>
      <c r="H98" s="273"/>
    </row>
    <row r="99" spans="1:8" ht="16.2" thickBot="1" x14ac:dyDescent="0.35">
      <c r="A99" s="275"/>
      <c r="B99" s="327" t="str">
        <f>'1 Aggregate System'!A48</f>
        <v>Coarse</v>
      </c>
      <c r="C99" s="328" t="s">
        <v>81</v>
      </c>
      <c r="D99" s="328" t="str">
        <f>'1 Aggregate System'!D48:E48</f>
        <v>&gt;15%</v>
      </c>
      <c r="E99" s="824">
        <f>'1 Aggregate System'!F48</f>
        <v>0</v>
      </c>
      <c r="F99" s="825"/>
      <c r="G99" s="383" t="str">
        <f>'1 Aggregate System'!L48</f>
        <v>Fail</v>
      </c>
      <c r="H99" s="275"/>
    </row>
    <row r="100" spans="1:8" ht="6.6" customHeight="1" x14ac:dyDescent="0.3">
      <c r="A100" s="276"/>
      <c r="B100" s="277"/>
      <c r="C100" s="277"/>
      <c r="D100" s="278"/>
      <c r="E100" s="278"/>
      <c r="F100" s="278"/>
      <c r="G100" s="278"/>
      <c r="H100" s="279"/>
    </row>
    <row r="101" spans="1:8" ht="13.2" customHeight="1" thickBot="1" x14ac:dyDescent="0.35">
      <c r="A101" s="280"/>
      <c r="B101" s="281"/>
      <c r="C101" s="281"/>
      <c r="D101" s="281"/>
      <c r="E101" s="281"/>
      <c r="F101" s="281"/>
      <c r="G101" s="281"/>
      <c r="H101" s="282"/>
    </row>
    <row r="102" spans="1:8" ht="13.2" customHeight="1" x14ac:dyDescent="0.3">
      <c r="A102" s="280"/>
      <c r="B102" s="281"/>
      <c r="C102" s="833" t="str">
        <f>IF(ISBLANK('3 Mix Design'!C29),"",'3 Mix Design'!C29)</f>
        <v/>
      </c>
      <c r="D102" s="281"/>
      <c r="E102" s="281"/>
      <c r="F102" s="819"/>
      <c r="G102" s="281"/>
      <c r="H102" s="282"/>
    </row>
    <row r="103" spans="1:8" ht="13.2" customHeight="1" thickBot="1" x14ac:dyDescent="0.35">
      <c r="A103" s="280"/>
      <c r="B103" s="281"/>
      <c r="C103" s="834"/>
      <c r="D103" s="281"/>
      <c r="E103" s="281"/>
      <c r="F103" s="819"/>
      <c r="G103" s="281"/>
      <c r="H103" s="282"/>
    </row>
    <row r="104" spans="1:8" ht="6.6" customHeight="1" thickBot="1" x14ac:dyDescent="0.35">
      <c r="A104" s="269"/>
      <c r="B104" s="283"/>
      <c r="C104" s="283"/>
      <c r="D104" s="283"/>
      <c r="E104" s="283"/>
      <c r="F104" s="283"/>
      <c r="G104" s="283"/>
      <c r="H104" s="284"/>
    </row>
  </sheetData>
  <sheetProtection algorithmName="SHA-512" hashValue="/hZH9hDuAz4OLLmqQAAqTjZEM3ha8P4+vDctkwn9LahkVoQUZ+qps8kkEIdxDBnuOvdkEcXK/Ve2xrQ0kLHsAw==" saltValue="/UOCjfurhBkcOgfvuTviWQ==" spinCount="100000" sheet="1" selectLockedCells="1"/>
  <mergeCells count="122">
    <mergeCell ref="A9:D9"/>
    <mergeCell ref="E9:H9"/>
    <mergeCell ref="A5:B5"/>
    <mergeCell ref="C5:D5"/>
    <mergeCell ref="E5:F5"/>
    <mergeCell ref="G5:H5"/>
    <mergeCell ref="A6:D6"/>
    <mergeCell ref="E6:H6"/>
    <mergeCell ref="A13:H13"/>
    <mergeCell ref="A10:H10"/>
    <mergeCell ref="A11:B11"/>
    <mergeCell ref="C11:D11"/>
    <mergeCell ref="E11:F11"/>
    <mergeCell ref="G11:H11"/>
    <mergeCell ref="A12:B12"/>
    <mergeCell ref="C12:D12"/>
    <mergeCell ref="E12:F12"/>
    <mergeCell ref="G12:H12"/>
    <mergeCell ref="A1:H1"/>
    <mergeCell ref="A3:H3"/>
    <mergeCell ref="A4:B4"/>
    <mergeCell ref="C4:D4"/>
    <mergeCell ref="E4:F4"/>
    <mergeCell ref="G4:H4"/>
    <mergeCell ref="A7:D7"/>
    <mergeCell ref="E7:H7"/>
    <mergeCell ref="A8:D8"/>
    <mergeCell ref="E8:H8"/>
    <mergeCell ref="A14:H14"/>
    <mergeCell ref="A21:C21"/>
    <mergeCell ref="D21:F21"/>
    <mergeCell ref="G21:H21"/>
    <mergeCell ref="A22:F22"/>
    <mergeCell ref="G22:H22"/>
    <mergeCell ref="A23:F23"/>
    <mergeCell ref="G23:H23"/>
    <mergeCell ref="A17:E17"/>
    <mergeCell ref="A18:D18"/>
    <mergeCell ref="E18:H18"/>
    <mergeCell ref="A19:H19"/>
    <mergeCell ref="D20:F20"/>
    <mergeCell ref="G20:H20"/>
    <mergeCell ref="A15:F15"/>
    <mergeCell ref="G15:H15"/>
    <mergeCell ref="A16:F16"/>
    <mergeCell ref="G16:H16"/>
    <mergeCell ref="A28:C28"/>
    <mergeCell ref="D28:F28"/>
    <mergeCell ref="G28:H28"/>
    <mergeCell ref="A29:F29"/>
    <mergeCell ref="G29:H29"/>
    <mergeCell ref="A30:F30"/>
    <mergeCell ref="G30:H30"/>
    <mergeCell ref="A24:E24"/>
    <mergeCell ref="A25:D25"/>
    <mergeCell ref="E25:H25"/>
    <mergeCell ref="A26:H26"/>
    <mergeCell ref="D27:F27"/>
    <mergeCell ref="G27:H27"/>
    <mergeCell ref="A36:B36"/>
    <mergeCell ref="C36:D36"/>
    <mergeCell ref="E36:F36"/>
    <mergeCell ref="G36:H36"/>
    <mergeCell ref="A37:F37"/>
    <mergeCell ref="G37:H37"/>
    <mergeCell ref="A31:E31"/>
    <mergeCell ref="A32:D32"/>
    <mergeCell ref="E32:H32"/>
    <mergeCell ref="A33:H33"/>
    <mergeCell ref="A34:H34"/>
    <mergeCell ref="C35:D35"/>
    <mergeCell ref="E35:F35"/>
    <mergeCell ref="G35:H35"/>
    <mergeCell ref="A42:H42"/>
    <mergeCell ref="A43:C43"/>
    <mergeCell ref="D43:F43"/>
    <mergeCell ref="G43:H43"/>
    <mergeCell ref="A44:C44"/>
    <mergeCell ref="D44:F44"/>
    <mergeCell ref="G44:H44"/>
    <mergeCell ref="A38:F38"/>
    <mergeCell ref="G38:H38"/>
    <mergeCell ref="A39:E39"/>
    <mergeCell ref="A40:D40"/>
    <mergeCell ref="E40:H40"/>
    <mergeCell ref="A41:H41"/>
    <mergeCell ref="A49:H49"/>
    <mergeCell ref="A51:H51"/>
    <mergeCell ref="A52:B52"/>
    <mergeCell ref="C52:D52"/>
    <mergeCell ref="E52:F52"/>
    <mergeCell ref="G52:H52"/>
    <mergeCell ref="A45:F45"/>
    <mergeCell ref="G45:H45"/>
    <mergeCell ref="A46:F46"/>
    <mergeCell ref="G46:H46"/>
    <mergeCell ref="A47:E47"/>
    <mergeCell ref="A48:D48"/>
    <mergeCell ref="E48:H48"/>
    <mergeCell ref="A55:D55"/>
    <mergeCell ref="E55:H55"/>
    <mergeCell ref="A56:D56"/>
    <mergeCell ref="E56:H56"/>
    <mergeCell ref="A57:D57"/>
    <mergeCell ref="E57:H57"/>
    <mergeCell ref="A53:B53"/>
    <mergeCell ref="C53:D53"/>
    <mergeCell ref="E53:F53"/>
    <mergeCell ref="G53:H53"/>
    <mergeCell ref="A54:D54"/>
    <mergeCell ref="E54:H54"/>
    <mergeCell ref="F102:F103"/>
    <mergeCell ref="E97:F97"/>
    <mergeCell ref="E98:F98"/>
    <mergeCell ref="E99:F99"/>
    <mergeCell ref="A58:H58"/>
    <mergeCell ref="B79:B80"/>
    <mergeCell ref="C79:C80"/>
    <mergeCell ref="D79:D80"/>
    <mergeCell ref="E79:E80"/>
    <mergeCell ref="C102:C103"/>
    <mergeCell ref="B78:E78"/>
  </mergeCells>
  <conditionalFormatting sqref="C102:C103">
    <cfRule type="cellIs" priority="4" stopIfTrue="1" operator="notBetween">
      <formula>1</formula>
      <formula>500</formula>
    </cfRule>
    <cfRule type="cellIs" dxfId="7" priority="14" stopIfTrue="1" operator="lessThan">
      <formula>125</formula>
    </cfRule>
    <cfRule type="cellIs" dxfId="6" priority="15" operator="greaterThanOrEqual">
      <formula>125</formula>
    </cfRule>
  </conditionalFormatting>
  <conditionalFormatting sqref="E81:E93">
    <cfRule type="containsText" dxfId="5" priority="12" stopIfTrue="1" operator="containsText" text="Fail">
      <formula>NOT(ISERROR(SEARCH("Fail",E81)))</formula>
    </cfRule>
    <cfRule type="containsText" dxfId="4" priority="13" operator="containsText" text="Pass">
      <formula>NOT(ISERROR(SEARCH("Pass",E81)))</formula>
    </cfRule>
  </conditionalFormatting>
  <conditionalFormatting sqref="E81">
    <cfRule type="containsBlanks" priority="9" stopIfTrue="1">
      <formula>LEN(TRIM(E81))=0</formula>
    </cfRule>
  </conditionalFormatting>
  <conditionalFormatting sqref="E82:E93">
    <cfRule type="containsBlanks" priority="8" stopIfTrue="1">
      <formula>LEN(TRIM(E82))=0</formula>
    </cfRule>
  </conditionalFormatting>
  <conditionalFormatting sqref="G98:G99">
    <cfRule type="containsText" dxfId="3" priority="6" stopIfTrue="1" operator="containsText" text="Fail">
      <formula>NOT(ISERROR(SEARCH("Fail",G98)))</formula>
    </cfRule>
    <cfRule type="containsText" dxfId="2" priority="7" operator="containsText" text="Pass">
      <formula>NOT(ISERROR(SEARCH("Pass",G98)))</formula>
    </cfRule>
  </conditionalFormatting>
  <conditionalFormatting sqref="G98:G99">
    <cfRule type="containsBlanks" priority="5" stopIfTrue="1">
      <formula>LEN(TRIM(G98))=0</formula>
    </cfRule>
  </conditionalFormatting>
  <conditionalFormatting sqref="F102:F103">
    <cfRule type="cellIs" priority="1" stopIfTrue="1" operator="notBetween">
      <formula>1</formula>
      <formula>500</formula>
    </cfRule>
    <cfRule type="cellIs" dxfId="1" priority="2" stopIfTrue="1" operator="between">
      <formula>1</formula>
      <formula>2</formula>
    </cfRule>
    <cfRule type="cellIs" dxfId="0" priority="3" operator="greaterThanOrEqual">
      <formula>3</formula>
    </cfRule>
  </conditionalFormatting>
  <pageMargins left="0.7" right="0.7" top="0.75" bottom="0.75" header="0.3" footer="0.3"/>
  <pageSetup scale="84" orientation="portrait" verticalDpi="1200"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0</xdr:colOff>
                    <xdr:row>57</xdr:row>
                    <xdr:rowOff>175260</xdr:rowOff>
                  </from>
                  <to>
                    <xdr:col>2</xdr:col>
                    <xdr:colOff>1135380</xdr:colOff>
                    <xdr:row>59</xdr:row>
                    <xdr:rowOff>68580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0</xdr:colOff>
                    <xdr:row>93</xdr:row>
                    <xdr:rowOff>99060</xdr:rowOff>
                  </from>
                  <to>
                    <xdr:col>2</xdr:col>
                    <xdr:colOff>144780</xdr:colOff>
                    <xdr:row>95</xdr:row>
                    <xdr:rowOff>60960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0</xdr:colOff>
                    <xdr:row>99</xdr:row>
                    <xdr:rowOff>22860</xdr:rowOff>
                  </from>
                  <to>
                    <xdr:col>2</xdr:col>
                    <xdr:colOff>746760</xdr:colOff>
                    <xdr:row>101</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0</xdr:colOff>
                    <xdr:row>73</xdr:row>
                    <xdr:rowOff>152400</xdr:rowOff>
                  </from>
                  <to>
                    <xdr:col>2</xdr:col>
                    <xdr:colOff>1143000</xdr:colOff>
                    <xdr:row>75</xdr:row>
                    <xdr:rowOff>99060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BA52F-C868-45A2-90B2-874037D47FAA}">
  <dimension ref="A1:Q57"/>
  <sheetViews>
    <sheetView showGridLines="0" zoomScaleNormal="100" zoomScaleSheetLayoutView="70" workbookViewId="0">
      <selection sqref="A1:L1"/>
    </sheetView>
  </sheetViews>
  <sheetFormatPr defaultRowHeight="14.4" x14ac:dyDescent="0.3"/>
  <cols>
    <col min="1" max="1" width="3.44140625" customWidth="1"/>
    <col min="12" max="12" width="11.44140625" customWidth="1"/>
  </cols>
  <sheetData>
    <row r="1" spans="1:16" ht="15" thickBot="1" x14ac:dyDescent="0.35">
      <c r="A1" s="908" t="s">
        <v>9</v>
      </c>
      <c r="B1" s="909"/>
      <c r="C1" s="909"/>
      <c r="D1" s="909"/>
      <c r="E1" s="909"/>
      <c r="F1" s="909"/>
      <c r="G1" s="909"/>
      <c r="H1" s="909"/>
      <c r="I1" s="909"/>
      <c r="J1" s="909"/>
      <c r="K1" s="909"/>
      <c r="L1" s="910"/>
    </row>
    <row r="2" spans="1:16" x14ac:dyDescent="0.3">
      <c r="A2" s="384" t="s">
        <v>10</v>
      </c>
      <c r="B2" s="911" t="s">
        <v>11</v>
      </c>
      <c r="C2" s="911"/>
      <c r="D2" s="911"/>
      <c r="E2" s="911"/>
      <c r="F2" s="911"/>
      <c r="G2" s="911"/>
      <c r="H2" s="911"/>
      <c r="I2" s="911"/>
      <c r="J2" s="911"/>
      <c r="K2" s="911"/>
      <c r="L2" s="912"/>
    </row>
    <row r="3" spans="1:16" ht="28.2" customHeight="1" x14ac:dyDescent="0.3">
      <c r="A3" s="385" t="s">
        <v>12</v>
      </c>
      <c r="B3" s="913" t="s">
        <v>13</v>
      </c>
      <c r="C3" s="913"/>
      <c r="D3" s="913"/>
      <c r="E3" s="913"/>
      <c r="F3" s="913"/>
      <c r="G3" s="913"/>
      <c r="H3" s="913"/>
      <c r="I3" s="913"/>
      <c r="J3" s="913"/>
      <c r="K3" s="913"/>
      <c r="L3" s="914"/>
    </row>
    <row r="4" spans="1:16" x14ac:dyDescent="0.3">
      <c r="A4" s="386" t="s">
        <v>14</v>
      </c>
      <c r="B4" s="915" t="s">
        <v>15</v>
      </c>
      <c r="C4" s="915"/>
      <c r="D4" s="915"/>
      <c r="E4" s="915"/>
      <c r="F4" s="915"/>
      <c r="G4" s="915"/>
      <c r="H4" s="915"/>
      <c r="I4" s="915"/>
      <c r="J4" s="915"/>
      <c r="K4" s="915"/>
      <c r="L4" s="916"/>
    </row>
    <row r="5" spans="1:16" x14ac:dyDescent="0.3">
      <c r="A5" s="387" t="s">
        <v>16</v>
      </c>
      <c r="B5" s="917" t="s">
        <v>17</v>
      </c>
      <c r="C5" s="917"/>
      <c r="D5" s="917"/>
      <c r="E5" s="917"/>
      <c r="F5" s="917"/>
      <c r="G5" s="917"/>
      <c r="H5" s="917"/>
      <c r="I5" s="917"/>
      <c r="J5" s="917"/>
      <c r="K5" s="917"/>
      <c r="L5" s="918"/>
    </row>
    <row r="6" spans="1:16" ht="15" thickBot="1" x14ac:dyDescent="0.35">
      <c r="A6" s="388" t="s">
        <v>18</v>
      </c>
      <c r="B6" s="899" t="s">
        <v>19</v>
      </c>
      <c r="C6" s="899"/>
      <c r="D6" s="899"/>
      <c r="E6" s="899"/>
      <c r="F6" s="899"/>
      <c r="G6" s="899"/>
      <c r="H6" s="899"/>
      <c r="I6" s="899"/>
      <c r="J6" s="899"/>
      <c r="K6" s="899"/>
      <c r="L6" s="900"/>
    </row>
    <row r="7" spans="1:16" x14ac:dyDescent="0.3">
      <c r="A7" s="389"/>
      <c r="M7" s="901" t="s">
        <v>295</v>
      </c>
      <c r="N7" s="901"/>
      <c r="O7" s="901"/>
      <c r="P7" s="901"/>
    </row>
    <row r="8" spans="1:16" ht="15" thickBot="1" x14ac:dyDescent="0.35">
      <c r="A8" s="905" t="s">
        <v>254</v>
      </c>
      <c r="B8" s="905"/>
      <c r="C8" s="905"/>
      <c r="D8" s="905"/>
      <c r="E8" s="905"/>
      <c r="F8" s="905"/>
      <c r="G8" s="905"/>
      <c r="H8" s="905"/>
      <c r="I8" s="905"/>
      <c r="J8" s="905"/>
      <c r="K8" s="905"/>
      <c r="M8" s="901"/>
      <c r="N8" s="901"/>
      <c r="O8" s="901"/>
      <c r="P8" s="901"/>
    </row>
    <row r="9" spans="1:16" ht="14.7" customHeight="1" x14ac:dyDescent="0.3">
      <c r="A9" s="902" t="s">
        <v>255</v>
      </c>
      <c r="B9" s="903"/>
      <c r="M9" s="906" t="str">
        <f>'1 Aggregate System'!O8</f>
        <v>3.2.2022</v>
      </c>
      <c r="N9" s="906"/>
      <c r="O9" s="906"/>
      <c r="P9" s="906"/>
    </row>
    <row r="10" spans="1:16" x14ac:dyDescent="0.3">
      <c r="B10" s="904" t="s">
        <v>256</v>
      </c>
      <c r="C10" s="904"/>
      <c r="D10" s="904"/>
      <c r="E10" s="904"/>
      <c r="F10" s="904"/>
      <c r="G10" s="904"/>
      <c r="H10" s="904"/>
      <c r="I10" s="904"/>
      <c r="M10" s="901" t="s">
        <v>2</v>
      </c>
      <c r="N10" s="901"/>
      <c r="O10" s="901"/>
      <c r="P10" s="901"/>
    </row>
    <row r="11" spans="1:16" x14ac:dyDescent="0.3">
      <c r="B11" s="390" t="s">
        <v>0</v>
      </c>
      <c r="C11" s="2"/>
      <c r="D11" s="2"/>
      <c r="E11" s="2"/>
      <c r="F11" s="2"/>
      <c r="G11" s="2"/>
      <c r="H11" s="2"/>
      <c r="M11" s="901"/>
      <c r="N11" s="901"/>
      <c r="O11" s="901"/>
      <c r="P11" s="901"/>
    </row>
    <row r="12" spans="1:16" x14ac:dyDescent="0.3">
      <c r="B12" s="391" t="s">
        <v>235</v>
      </c>
      <c r="C12" s="2"/>
      <c r="D12" s="2"/>
      <c r="E12" s="2"/>
      <c r="F12" s="2"/>
      <c r="G12" s="2"/>
      <c r="H12" s="2"/>
      <c r="M12" s="901"/>
      <c r="N12" s="901"/>
      <c r="O12" s="901"/>
      <c r="P12" s="901"/>
    </row>
    <row r="13" spans="1:16" ht="9" customHeight="1" x14ac:dyDescent="0.3">
      <c r="B13" s="391"/>
      <c r="C13" s="2"/>
      <c r="D13" s="2"/>
      <c r="E13" s="2"/>
      <c r="F13" s="2"/>
      <c r="G13" s="2"/>
      <c r="H13" s="2"/>
      <c r="M13" s="901"/>
      <c r="N13" s="901"/>
      <c r="O13" s="901"/>
      <c r="P13" s="901"/>
    </row>
    <row r="14" spans="1:16" x14ac:dyDescent="0.3">
      <c r="A14" s="907" t="s">
        <v>257</v>
      </c>
      <c r="B14" s="907"/>
      <c r="C14" s="2"/>
      <c r="D14" s="2"/>
      <c r="E14" s="2"/>
      <c r="F14" s="2"/>
      <c r="G14" s="2"/>
      <c r="H14" s="2"/>
      <c r="M14" s="901"/>
      <c r="N14" s="901"/>
      <c r="O14" s="901"/>
      <c r="P14" s="901"/>
    </row>
    <row r="15" spans="1:16" x14ac:dyDescent="0.3">
      <c r="A15" s="921" t="s">
        <v>275</v>
      </c>
      <c r="B15" s="921"/>
      <c r="C15" s="921"/>
      <c r="D15" s="921"/>
      <c r="E15" s="921"/>
      <c r="F15" s="921"/>
      <c r="G15" s="921"/>
      <c r="H15" s="921"/>
      <c r="I15" s="921"/>
      <c r="J15" s="921"/>
      <c r="K15" s="921"/>
      <c r="M15" s="901"/>
      <c r="N15" s="901"/>
      <c r="O15" s="901"/>
      <c r="P15" s="901"/>
    </row>
    <row r="16" spans="1:16" x14ac:dyDescent="0.3">
      <c r="B16" s="903" t="s">
        <v>236</v>
      </c>
      <c r="C16" s="903"/>
      <c r="D16" s="903"/>
      <c r="E16" s="903"/>
      <c r="F16" s="903"/>
      <c r="G16" s="903"/>
      <c r="H16" s="903"/>
      <c r="I16" s="903"/>
    </row>
    <row r="17" spans="1:17" x14ac:dyDescent="0.3">
      <c r="B17" s="903" t="s">
        <v>258</v>
      </c>
      <c r="C17" s="903"/>
      <c r="D17" s="903"/>
      <c r="E17" s="903"/>
      <c r="F17" s="903"/>
      <c r="G17" s="903"/>
      <c r="H17" s="903"/>
      <c r="I17" s="903"/>
    </row>
    <row r="18" spans="1:17" ht="14.7" customHeight="1" x14ac:dyDescent="0.3">
      <c r="B18" s="903" t="s">
        <v>1</v>
      </c>
      <c r="C18" s="903"/>
      <c r="D18" s="903"/>
      <c r="E18" s="903"/>
      <c r="F18" s="903"/>
      <c r="G18" s="903"/>
      <c r="H18" s="903"/>
    </row>
    <row r="19" spans="1:17" ht="14.7" customHeight="1" x14ac:dyDescent="0.3">
      <c r="B19" s="391" t="s">
        <v>3</v>
      </c>
      <c r="C19" s="391"/>
      <c r="D19" s="391"/>
      <c r="E19" s="391"/>
      <c r="F19" s="926" t="s">
        <v>259</v>
      </c>
      <c r="G19" s="926"/>
      <c r="H19" s="926"/>
      <c r="I19" s="926"/>
      <c r="J19" s="926"/>
      <c r="K19" s="926"/>
    </row>
    <row r="20" spans="1:17" ht="14.7" customHeight="1" x14ac:dyDescent="0.3">
      <c r="B20" s="391" t="s">
        <v>260</v>
      </c>
      <c r="C20" s="391"/>
      <c r="D20" s="391"/>
      <c r="E20" s="391"/>
      <c r="F20" s="926"/>
      <c r="G20" s="926"/>
      <c r="H20" s="926"/>
      <c r="I20" s="926"/>
      <c r="J20" s="926"/>
      <c r="K20" s="926"/>
    </row>
    <row r="21" spans="1:17" x14ac:dyDescent="0.3">
      <c r="B21" s="391" t="s">
        <v>261</v>
      </c>
      <c r="C21" s="391"/>
      <c r="D21" s="2" t="s">
        <v>262</v>
      </c>
      <c r="E21" s="393" t="s">
        <v>263</v>
      </c>
      <c r="F21" s="2" t="s">
        <v>4</v>
      </c>
      <c r="G21" s="393" t="s">
        <v>263</v>
      </c>
      <c r="H21" s="2" t="s">
        <v>5</v>
      </c>
      <c r="I21" s="393" t="s">
        <v>263</v>
      </c>
      <c r="J21" s="2" t="s">
        <v>264</v>
      </c>
    </row>
    <row r="22" spans="1:17" ht="14.7" customHeight="1" x14ac:dyDescent="0.3">
      <c r="B22" s="923" t="s">
        <v>265</v>
      </c>
      <c r="C22" s="923"/>
      <c r="D22" s="923"/>
      <c r="E22" s="923"/>
      <c r="F22" s="923"/>
      <c r="G22" s="923"/>
      <c r="H22" s="923"/>
      <c r="I22" s="923"/>
      <c r="J22" s="923"/>
    </row>
    <row r="23" spans="1:17" x14ac:dyDescent="0.3">
      <c r="B23" s="922" t="s">
        <v>277</v>
      </c>
      <c r="C23" s="922"/>
      <c r="D23" s="922"/>
      <c r="E23" s="922"/>
      <c r="F23" s="922"/>
      <c r="G23" s="922"/>
      <c r="H23" s="922"/>
      <c r="I23" s="2"/>
      <c r="J23" s="2"/>
    </row>
    <row r="24" spans="1:17" x14ac:dyDescent="0.3">
      <c r="B24" s="903" t="s">
        <v>287</v>
      </c>
      <c r="C24" s="903"/>
      <c r="D24" s="903"/>
      <c r="E24" s="903"/>
      <c r="F24" s="903"/>
      <c r="G24" s="903"/>
      <c r="H24" s="903"/>
      <c r="I24" s="903"/>
      <c r="J24" s="903"/>
    </row>
    <row r="25" spans="1:17" ht="14.7" customHeight="1" x14ac:dyDescent="0.3">
      <c r="B25" s="924" t="s">
        <v>237</v>
      </c>
      <c r="C25" s="924"/>
      <c r="D25" s="924"/>
      <c r="E25" s="924"/>
      <c r="F25" s="924"/>
      <c r="G25" s="924"/>
      <c r="H25" s="924"/>
      <c r="I25" s="924"/>
      <c r="J25" s="924"/>
      <c r="K25" s="405"/>
      <c r="L25" s="405"/>
    </row>
    <row r="26" spans="1:17" ht="14.7" customHeight="1" x14ac:dyDescent="0.3">
      <c r="B26" s="924"/>
      <c r="C26" s="924"/>
      <c r="D26" s="924"/>
      <c r="E26" s="924"/>
      <c r="F26" s="924"/>
      <c r="G26" s="924"/>
      <c r="H26" s="924"/>
      <c r="I26" s="924"/>
      <c r="J26" s="924"/>
      <c r="K26" s="394"/>
      <c r="L26" s="394"/>
    </row>
    <row r="27" spans="1:17" ht="18.600000000000001" customHeight="1" x14ac:dyDescent="0.3">
      <c r="A27" s="392" t="s">
        <v>266</v>
      </c>
      <c r="B27" s="2"/>
      <c r="C27" s="2"/>
      <c r="D27" s="2"/>
      <c r="E27" s="2"/>
      <c r="F27" s="2"/>
      <c r="G27" s="2"/>
      <c r="H27" s="2"/>
      <c r="I27" s="2"/>
      <c r="J27" s="394"/>
      <c r="K27" s="2"/>
      <c r="L27" s="2"/>
    </row>
    <row r="28" spans="1:17" ht="14.7" customHeight="1" x14ac:dyDescent="0.3">
      <c r="B28" s="391" t="s">
        <v>267</v>
      </c>
      <c r="C28" s="2"/>
      <c r="D28" s="2"/>
      <c r="E28" s="2"/>
      <c r="F28" s="2"/>
      <c r="G28" s="2"/>
      <c r="H28" s="2"/>
      <c r="I28" s="2"/>
      <c r="J28" s="2"/>
      <c r="K28" s="2"/>
      <c r="L28" s="2"/>
      <c r="Q28" s="389" t="s">
        <v>6</v>
      </c>
    </row>
    <row r="29" spans="1:17" x14ac:dyDescent="0.3">
      <c r="B29" s="391" t="s">
        <v>238</v>
      </c>
      <c r="C29" s="2"/>
      <c r="D29" s="2"/>
      <c r="E29" s="2"/>
      <c r="F29" s="2"/>
      <c r="G29" s="2"/>
      <c r="H29" s="2"/>
      <c r="I29" s="2"/>
      <c r="J29" s="2"/>
      <c r="K29" s="2"/>
      <c r="L29" s="2"/>
    </row>
    <row r="30" spans="1:17" x14ac:dyDescent="0.3">
      <c r="B30" s="391" t="s">
        <v>7</v>
      </c>
      <c r="C30" s="2"/>
      <c r="D30" s="2"/>
      <c r="E30" s="2"/>
      <c r="F30" s="2"/>
      <c r="G30" s="2"/>
      <c r="H30" s="2"/>
      <c r="I30" s="2"/>
      <c r="J30" s="2"/>
      <c r="K30" s="2"/>
      <c r="L30" s="2"/>
    </row>
    <row r="31" spans="1:17" x14ac:dyDescent="0.3">
      <c r="B31" s="903" t="s">
        <v>268</v>
      </c>
      <c r="C31" s="903"/>
      <c r="D31" s="903"/>
      <c r="E31" s="903"/>
      <c r="F31" s="903"/>
      <c r="G31" s="903"/>
      <c r="H31" s="903"/>
      <c r="I31" s="903"/>
      <c r="J31" s="903"/>
      <c r="K31" s="903"/>
      <c r="L31" s="903"/>
    </row>
    <row r="32" spans="1:17" ht="14.7" customHeight="1" x14ac:dyDescent="0.3">
      <c r="B32" s="922" t="s">
        <v>278</v>
      </c>
      <c r="C32" s="922"/>
      <c r="D32" s="922"/>
      <c r="E32" s="922"/>
      <c r="F32" s="922"/>
      <c r="G32" s="922"/>
      <c r="H32" s="922"/>
      <c r="I32" s="922"/>
      <c r="J32" s="922"/>
      <c r="K32" s="922"/>
      <c r="L32" s="922"/>
    </row>
    <row r="33" spans="1:12" x14ac:dyDescent="0.3">
      <c r="B33" s="391" t="s">
        <v>269</v>
      </c>
      <c r="C33" s="2"/>
      <c r="D33" s="2"/>
      <c r="E33" s="2"/>
      <c r="F33" s="2"/>
      <c r="G33" s="2"/>
      <c r="H33" s="2"/>
      <c r="I33" s="395"/>
      <c r="J33" s="2"/>
      <c r="K33" s="2"/>
      <c r="L33" s="2"/>
    </row>
    <row r="34" spans="1:12" x14ac:dyDescent="0.3">
      <c r="B34" s="2" t="s">
        <v>270</v>
      </c>
      <c r="C34" s="2"/>
      <c r="D34" s="2"/>
      <c r="E34" s="2"/>
      <c r="F34" s="2"/>
      <c r="G34" s="2"/>
      <c r="H34" s="2"/>
      <c r="I34" s="394"/>
      <c r="J34" s="395"/>
      <c r="K34" s="2"/>
      <c r="L34" s="2"/>
    </row>
    <row r="35" spans="1:12" ht="25.2" customHeight="1" x14ac:dyDescent="0.3">
      <c r="A35" s="921" t="s">
        <v>276</v>
      </c>
      <c r="B35" s="921"/>
      <c r="C35" s="921"/>
      <c r="D35" s="921"/>
      <c r="E35" s="921"/>
      <c r="F35" s="921"/>
      <c r="G35" s="921"/>
      <c r="H35" s="921"/>
      <c r="I35" s="921"/>
      <c r="J35" s="921"/>
      <c r="K35" s="921"/>
      <c r="L35" s="2"/>
    </row>
    <row r="36" spans="1:12" x14ac:dyDescent="0.3">
      <c r="A36" s="406"/>
      <c r="B36" s="925" t="s">
        <v>291</v>
      </c>
      <c r="C36" s="925"/>
      <c r="D36" s="925"/>
      <c r="E36" s="925"/>
      <c r="F36" s="925"/>
      <c r="G36" s="925"/>
      <c r="H36" s="925"/>
      <c r="I36" s="925"/>
      <c r="J36" s="925"/>
      <c r="K36" s="406"/>
      <c r="L36" s="2"/>
    </row>
    <row r="37" spans="1:12" x14ac:dyDescent="0.3">
      <c r="B37" s="391" t="s">
        <v>286</v>
      </c>
      <c r="C37" s="2"/>
      <c r="D37" s="2"/>
      <c r="E37" s="2"/>
      <c r="F37" s="2"/>
      <c r="G37" s="2"/>
      <c r="H37" s="2"/>
      <c r="I37" s="2"/>
      <c r="J37" s="2"/>
      <c r="K37" s="2"/>
      <c r="L37" s="2"/>
    </row>
    <row r="38" spans="1:12" x14ac:dyDescent="0.3">
      <c r="A38" s="392"/>
      <c r="B38" s="2" t="s">
        <v>271</v>
      </c>
      <c r="C38" s="2"/>
      <c r="D38" s="2"/>
      <c r="E38" s="2"/>
      <c r="F38" s="2"/>
      <c r="G38" s="2"/>
      <c r="H38" s="2"/>
      <c r="I38" s="2"/>
      <c r="J38" s="394"/>
      <c r="K38" s="2"/>
      <c r="L38" s="2"/>
    </row>
    <row r="39" spans="1:12" x14ac:dyDescent="0.3">
      <c r="B39" s="391" t="s">
        <v>279</v>
      </c>
      <c r="C39" s="2"/>
      <c r="D39" s="2"/>
      <c r="E39" s="2"/>
      <c r="F39" s="2"/>
      <c r="G39" s="2"/>
      <c r="H39" s="2"/>
      <c r="I39" s="2"/>
      <c r="J39" s="2"/>
      <c r="K39" s="2"/>
      <c r="L39" s="2"/>
    </row>
    <row r="40" spans="1:12" x14ac:dyDescent="0.3">
      <c r="B40" s="922" t="s">
        <v>280</v>
      </c>
      <c r="C40" s="922"/>
      <c r="D40" s="922"/>
      <c r="E40" s="922"/>
      <c r="F40" s="922"/>
      <c r="G40" s="922"/>
      <c r="H40" s="922"/>
      <c r="I40" s="922"/>
      <c r="J40" s="922"/>
      <c r="K40" s="922"/>
      <c r="L40" s="2"/>
    </row>
    <row r="41" spans="1:12" x14ac:dyDescent="0.3">
      <c r="B41" s="922"/>
      <c r="C41" s="922"/>
      <c r="D41" s="922"/>
      <c r="E41" s="922"/>
      <c r="F41" s="922"/>
      <c r="G41" s="922"/>
      <c r="H41" s="922"/>
      <c r="I41" s="922"/>
      <c r="J41" s="922"/>
      <c r="K41" s="922"/>
      <c r="L41" s="2"/>
    </row>
    <row r="42" spans="1:12" ht="25.2" customHeight="1" x14ac:dyDescent="0.3">
      <c r="A42" s="392" t="s">
        <v>281</v>
      </c>
      <c r="B42" s="2"/>
      <c r="C42" s="2"/>
      <c r="D42" s="2"/>
      <c r="E42" s="2"/>
      <c r="F42" s="2"/>
      <c r="G42" s="2"/>
      <c r="H42" s="2"/>
      <c r="I42" s="2"/>
      <c r="J42" s="395"/>
      <c r="K42" s="2"/>
      <c r="L42" s="2"/>
    </row>
    <row r="43" spans="1:12" x14ac:dyDescent="0.3">
      <c r="B43" t="s">
        <v>272</v>
      </c>
    </row>
    <row r="44" spans="1:12" x14ac:dyDescent="0.3">
      <c r="B44" s="919" t="s">
        <v>282</v>
      </c>
      <c r="C44" s="919"/>
      <c r="D44" s="919"/>
      <c r="E44" s="919"/>
      <c r="F44" s="919"/>
      <c r="G44" s="919"/>
      <c r="H44" s="919"/>
      <c r="I44" s="919"/>
      <c r="J44" s="919"/>
    </row>
    <row r="45" spans="1:12" x14ac:dyDescent="0.3">
      <c r="B45" s="919"/>
      <c r="C45" s="919"/>
      <c r="D45" s="919"/>
      <c r="E45" s="919"/>
      <c r="F45" s="919"/>
      <c r="G45" s="919"/>
      <c r="H45" s="919"/>
      <c r="I45" s="919"/>
      <c r="J45" s="919"/>
    </row>
    <row r="46" spans="1:12" ht="21.6" customHeight="1" x14ac:dyDescent="0.3">
      <c r="A46" s="392" t="s">
        <v>273</v>
      </c>
      <c r="C46" s="2"/>
      <c r="D46" s="2"/>
      <c r="E46" s="2"/>
      <c r="F46" s="2"/>
      <c r="G46" s="2"/>
      <c r="H46" s="2"/>
      <c r="I46" s="2"/>
      <c r="J46" s="2"/>
      <c r="K46" s="2"/>
      <c r="L46" s="2"/>
    </row>
    <row r="47" spans="1:12" x14ac:dyDescent="0.3">
      <c r="B47" s="396" t="s">
        <v>8</v>
      </c>
      <c r="I47" s="395"/>
      <c r="J47" s="2"/>
      <c r="K47" s="397"/>
      <c r="L47" s="397"/>
    </row>
    <row r="48" spans="1:12" ht="23.7" customHeight="1" x14ac:dyDescent="0.3">
      <c r="A48" s="398" t="s">
        <v>274</v>
      </c>
      <c r="I48" s="2"/>
      <c r="J48" s="395"/>
      <c r="K48" s="399"/>
      <c r="L48" s="399"/>
    </row>
    <row r="49" spans="1:12" x14ac:dyDescent="0.3">
      <c r="B49" t="s">
        <v>283</v>
      </c>
      <c r="I49" s="2"/>
      <c r="J49" s="2"/>
      <c r="K49" s="2"/>
      <c r="L49" s="2"/>
    </row>
    <row r="50" spans="1:12" ht="20.100000000000001" customHeight="1" x14ac:dyDescent="0.3">
      <c r="A50" s="398" t="s">
        <v>202</v>
      </c>
      <c r="I50" s="395"/>
      <c r="J50" s="2"/>
      <c r="K50" s="2"/>
      <c r="L50" s="2"/>
    </row>
    <row r="51" spans="1:12" x14ac:dyDescent="0.3">
      <c r="B51" s="920" t="s">
        <v>285</v>
      </c>
      <c r="C51" s="920"/>
      <c r="D51" s="920"/>
      <c r="E51" s="920"/>
      <c r="F51" s="920"/>
      <c r="G51" s="920"/>
      <c r="H51" s="920"/>
      <c r="I51" s="397"/>
      <c r="J51" s="395"/>
      <c r="K51" s="2"/>
      <c r="L51" s="2"/>
    </row>
    <row r="52" spans="1:12" x14ac:dyDescent="0.3">
      <c r="B52" t="s">
        <v>284</v>
      </c>
      <c r="I52" s="399"/>
      <c r="J52" s="397"/>
    </row>
    <row r="53" spans="1:12" x14ac:dyDescent="0.3">
      <c r="I53" s="395"/>
      <c r="J53" s="399"/>
    </row>
    <row r="54" spans="1:12" ht="14.7" customHeight="1" x14ac:dyDescent="0.3">
      <c r="I54" s="2"/>
      <c r="J54" s="395"/>
    </row>
    <row r="55" spans="1:12" x14ac:dyDescent="0.3">
      <c r="I55" s="2"/>
      <c r="J55" s="2"/>
    </row>
    <row r="56" spans="1:12" x14ac:dyDescent="0.3">
      <c r="I56" s="2"/>
      <c r="J56" s="2"/>
    </row>
    <row r="57" spans="1:12" x14ac:dyDescent="0.3">
      <c r="J57" s="2"/>
    </row>
  </sheetData>
  <sheetProtection algorithmName="SHA-512" hashValue="Chcqft63JxUJSKh9yIAT68L7jtWElefcITBBnZSOHvOemMkEUncTWPWcRO4DIof4rMi5aeoyKpmEdx7dM4tgJQ==" saltValue="ENdsAhIe3jNjGES2tnq/iQ==" spinCount="100000" sheet="1" objects="1" scenarios="1"/>
  <mergeCells count="29">
    <mergeCell ref="B44:J45"/>
    <mergeCell ref="B51:H51"/>
    <mergeCell ref="A15:K15"/>
    <mergeCell ref="A35:K35"/>
    <mergeCell ref="B40:K41"/>
    <mergeCell ref="B31:L31"/>
    <mergeCell ref="B32:L32"/>
    <mergeCell ref="B24:J24"/>
    <mergeCell ref="B22:J22"/>
    <mergeCell ref="B23:H23"/>
    <mergeCell ref="B25:J26"/>
    <mergeCell ref="B36:J36"/>
    <mergeCell ref="B16:I16"/>
    <mergeCell ref="B17:I17"/>
    <mergeCell ref="B18:H18"/>
    <mergeCell ref="F19:K20"/>
    <mergeCell ref="A1:L1"/>
    <mergeCell ref="B2:L2"/>
    <mergeCell ref="B3:L3"/>
    <mergeCell ref="B4:L4"/>
    <mergeCell ref="B5:L5"/>
    <mergeCell ref="B6:L6"/>
    <mergeCell ref="M7:P8"/>
    <mergeCell ref="A9:B9"/>
    <mergeCell ref="B10:I10"/>
    <mergeCell ref="A8:K8"/>
    <mergeCell ref="M10:P15"/>
    <mergeCell ref="M9:P9"/>
    <mergeCell ref="A14:B14"/>
  </mergeCells>
  <pageMargins left="0.7" right="0.7" top="0.75" bottom="0.75" header="0.3" footer="0.3"/>
  <pageSetup scale="62"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13590aa26d6e57585ce7de1d58b5c226">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078559f70512f2a2bd786b8c2707f4fa"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FA9F98-3242-462B-A635-EE73AB2CAA88}">
  <ds:schemaRefs>
    <ds:schemaRef ds:uri="http://schemas.microsoft.com/sharepoint/v3/contenttype/forms"/>
  </ds:schemaRefs>
</ds:datastoreItem>
</file>

<file path=customXml/itemProps2.xml><?xml version="1.0" encoding="utf-8"?>
<ds:datastoreItem xmlns:ds="http://schemas.openxmlformats.org/officeDocument/2006/customXml" ds:itemID="{ECF1DF45-E7DF-4FF9-9212-0615AF2D0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B789EF-A9E5-484C-B0FA-57F69FFA7402}">
  <ds:schemaRefs>
    <ds:schemaRef ds:uri="http://schemas.microsoft.com/sharepoint/v3"/>
    <ds:schemaRef ds:uri="a8b72882-1d02-4704-8464-4e9c6e9dc5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Aggregate System</vt:lpstr>
      <vt:lpstr>2 Paste Quality</vt:lpstr>
      <vt:lpstr>3 Mix Design</vt:lpstr>
      <vt:lpstr>4 Agg Analysis</vt:lpstr>
      <vt:lpstr>Unit Wt_Voids in Agg (optional)</vt:lpstr>
      <vt:lpstr>Data_Charts</vt:lpstr>
      <vt:lpstr>WS5014</vt:lpstr>
      <vt:lpstr>Directions_Download</vt:lpstr>
      <vt:lpstr>'1 Aggregate System'!Print_Area</vt:lpstr>
      <vt:lpstr>'2 Paste Quality'!Print_Area</vt:lpstr>
      <vt:lpstr>'3 Mix Design'!Print_Area</vt:lpstr>
      <vt:lpstr>Data_Charts!Print_Area</vt:lpstr>
      <vt:lpstr>'WS5014'!Print_Area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7-8-2019-optimized-pcc-spreadsheet.xlsx</dc:title>
  <dc:creator>Jackie Spoor</dc:creator>
  <cp:keywords>7-8-2019-optimized-pcc-spreadsheet.xlsx</cp:keywords>
  <cp:lastModifiedBy>FINNELL, MARK W</cp:lastModifiedBy>
  <cp:lastPrinted>2020-09-02T15:27:00Z</cp:lastPrinted>
  <dcterms:created xsi:type="dcterms:W3CDTF">2019-04-29T15:27:56Z</dcterms:created>
  <dcterms:modified xsi:type="dcterms:W3CDTF">2022-03-10T17:46:13Z</dcterms:modified>
  <cp:category>7-8-2019-optimized-pcc-spreadsheet.xlsx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